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RATES\ARAM\UNSG\Annual\2026\Posting\Website\"/>
    </mc:Choice>
  </mc:AlternateContent>
  <xr:revisionPtr revIDLastSave="0" documentId="13_ncr:1_{4AD7B397-FB6E-4A3C-9B0F-2D1412B4A926}" xr6:coauthVersionLast="47" xr6:coauthVersionMax="47" xr10:uidLastSave="{00000000-0000-0000-0000-000000000000}"/>
  <bookViews>
    <workbookView xWindow="-108" yWindow="-108" windowWidth="23256" windowHeight="13896" activeTab="15" xr2:uid="{00000000-000D-0000-FFFF-FFFF00000000}"/>
  </bookViews>
  <sheets>
    <sheet name="Dec 81653 Page 57" sheetId="117" r:id="rId1"/>
    <sheet name="Rate Base" sheetId="59" state="hidden" r:id="rId2"/>
    <sheet name="Rate Base (RCN)" sheetId="46" state="hidden" r:id="rId3"/>
    <sheet name="Fair Value" sheetId="45" state="hidden" r:id="rId4"/>
    <sheet name="Rev Exp" sheetId="13" state="hidden" r:id="rId5"/>
    <sheet name="Rev-Gas Summary" sheetId="116" state="hidden" r:id="rId6"/>
    <sheet name="REVEXP-UNADJ-FERC IS" sheetId="61" state="hidden" r:id="rId7"/>
    <sheet name="REVEXP-UNADJ-Depreciation" sheetId="68" state="hidden" r:id="rId8"/>
    <sheet name="Income Tax Lead" sheetId="69" state="hidden" r:id="rId9"/>
    <sheet name="Inc Tax Support" sheetId="115" state="hidden" r:id="rId10"/>
    <sheet name="Customer Deposits" sheetId="114" state="hidden" r:id="rId11"/>
    <sheet name="RCN Data" sheetId="67" state="hidden" r:id="rId12"/>
    <sheet name="RB-UNADJ-Plant" sheetId="70" state="hidden" r:id="rId13"/>
    <sheet name="RB-UNADJ-FERC BS" sheetId="60" state="hidden" r:id="rId14"/>
    <sheet name="RB-Reg Asset-Liab" sheetId="66" state="hidden" r:id="rId15"/>
    <sheet name="Cust Adv RCN" sheetId="39" r:id="rId16"/>
    <sheet name="A1" sheetId="71" state="hidden" r:id="rId17"/>
    <sheet name="A2" sheetId="72" state="hidden" r:id="rId18"/>
    <sheet name="A3" sheetId="73" state="hidden" r:id="rId19"/>
    <sheet name="A4" sheetId="74" state="hidden" r:id="rId20"/>
    <sheet name="A5" sheetId="75" state="hidden" r:id="rId21"/>
    <sheet name="B1" sheetId="76" state="hidden" r:id="rId22"/>
    <sheet name="B2 P1" sheetId="77" state="hidden" r:id="rId23"/>
    <sheet name="B2 P2" sheetId="78" state="hidden" r:id="rId24"/>
    <sheet name="B3 P1" sheetId="80" state="hidden" r:id="rId25"/>
    <sheet name="B3 P2" sheetId="81" state="hidden" r:id="rId26"/>
    <sheet name="B4 P1-P2" sheetId="83" state="hidden" r:id="rId27"/>
    <sheet name="B5 P1-P2" sheetId="84" state="hidden" r:id="rId28"/>
    <sheet name="B5 P3" sheetId="85" r:id="rId29"/>
    <sheet name="Lead Lag Days" sheetId="110" state="hidden" r:id="rId30"/>
    <sheet name="Lead Lag Reclass" sheetId="111" state="hidden" r:id="rId31"/>
    <sheet name="C1" sheetId="86" state="hidden" r:id="rId32"/>
    <sheet name="C2 P1-P3" sheetId="87" state="hidden" r:id="rId33"/>
    <sheet name="C3" sheetId="89" r:id="rId34"/>
    <sheet name="D1 P1" sheetId="90" state="hidden" r:id="rId35"/>
    <sheet name="D1 P2" sheetId="91" state="hidden" r:id="rId36"/>
    <sheet name="D2 P1" sheetId="92" state="hidden" r:id="rId37"/>
    <sheet name="D2 P2" sheetId="93" state="hidden" r:id="rId38"/>
    <sheet name="D3" sheetId="94" state="hidden" r:id="rId39"/>
    <sheet name="D4" sheetId="95" state="hidden" r:id="rId40"/>
    <sheet name="E1" sheetId="96" state="hidden" r:id="rId41"/>
    <sheet name="E2" sheetId="97" state="hidden" r:id="rId42"/>
    <sheet name="E3" sheetId="98" state="hidden" r:id="rId43"/>
    <sheet name="E4" sheetId="99" state="hidden" r:id="rId44"/>
    <sheet name="E5 P1" sheetId="100" state="hidden" r:id="rId45"/>
    <sheet name="E5 P2" sheetId="101" state="hidden" r:id="rId46"/>
    <sheet name="E6" sheetId="102" state="hidden" r:id="rId47"/>
    <sheet name="E7" sheetId="103" state="hidden" r:id="rId48"/>
    <sheet name="E8" sheetId="104" state="hidden" r:id="rId49"/>
    <sheet name="E9" sheetId="105" state="hidden" r:id="rId50"/>
    <sheet name="F1" sheetId="106" state="hidden" r:id="rId51"/>
    <sheet name="F2" sheetId="107" state="hidden" r:id="rId52"/>
    <sheet name="F3" sheetId="108" state="hidden" r:id="rId53"/>
    <sheet name="F4" sheetId="109" state="hidden" r:id="rId54"/>
  </sheets>
  <definedNames>
    <definedName name="_____ss2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____ss2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__ss2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__ss2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_123Graph_F" hidden="1">#REF!</definedName>
    <definedName name="__ss2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_ss2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Fill" localSheetId="14" hidden="1">#REF!</definedName>
    <definedName name="_Fill" hidden="1">#REF!</definedName>
    <definedName name="_Key1" localSheetId="1" hidden="1">#REF!</definedName>
    <definedName name="_Key1" localSheetId="14" hidden="1">#REF!</definedName>
    <definedName name="_Key1" localSheetId="12" hidden="1">#REF!</definedName>
    <definedName name="_Key1" hidden="1">#REF!</definedName>
    <definedName name="_Key2" localSheetId="1" hidden="1">#REF!</definedName>
    <definedName name="_Key2" localSheetId="14" hidden="1">#REF!</definedName>
    <definedName name="_Key2" localSheetId="12" hidden="1">#REF!</definedName>
    <definedName name="_Key2" hidden="1">#REF!</definedName>
    <definedName name="_Order1" hidden="1">255</definedName>
    <definedName name="_Order2" hidden="1">255</definedName>
    <definedName name="_Parse_In" localSheetId="14" hidden="1">#REF!</definedName>
    <definedName name="_Parse_In" hidden="1">#REF!</definedName>
    <definedName name="_Parse_Out" localSheetId="14" hidden="1">#REF!</definedName>
    <definedName name="_Parse_Out" hidden="1">#REF!</definedName>
    <definedName name="_Regression_Int" localSheetId="21" hidden="1">1</definedName>
    <definedName name="_Regression_Int" localSheetId="22" hidden="1">1</definedName>
    <definedName name="_Regression_Int" localSheetId="23" hidden="1">1</definedName>
    <definedName name="_Sort" localSheetId="14" hidden="1">#REF!</definedName>
    <definedName name="_Sort" hidden="1">#REF!</definedName>
    <definedName name="_ss2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ss2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_STOP" localSheetId="9">#REF!</definedName>
    <definedName name="_STOP">#REF!</definedName>
    <definedName name="AAA_DOCTOPS" hidden="1">"AAA_SET"</definedName>
    <definedName name="AAA_duser" hidden="1">"OFF"</definedName>
    <definedName name="AAB_Addin5" hidden="1">"AAB_Description for addin 5,Description for addin 5,Description for addin 5,Description for addin 5,Description for addin 5,Description for addin 5"</definedName>
    <definedName name="Account_114" localSheetId="9">#REF!</definedName>
    <definedName name="Account_114">#REF!</definedName>
    <definedName name="ADOct14" localSheetId="28">#REF!</definedName>
    <definedName name="ADOct14" localSheetId="9">#REF!</definedName>
    <definedName name="ADOct14" localSheetId="29">#REF!</definedName>
    <definedName name="ADOct14" localSheetId="30">#REF!</definedName>
    <definedName name="ADOct14">#REF!</definedName>
    <definedName name="ALL" localSheetId="9">#REF!</definedName>
    <definedName name="ALL" localSheetId="29">#REF!</definedName>
    <definedName name="ALL" localSheetId="30">#REF!</definedName>
    <definedName name="ALL">#REF!</definedName>
    <definedName name="AS2DocOpenMode" hidden="1">"AS2DocumentEdit"</definedName>
    <definedName name="B1P1">'B1'!$A$1:$I$44</definedName>
    <definedName name="B2P1" localSheetId="23">'B2 P2'!$A$1:$M$38</definedName>
    <definedName name="B2P1">'B2 P1'!$A$1:$K$39</definedName>
    <definedName name="BNE_MESSAGES_HIDDEN" localSheetId="15" hidden="1">#REF!</definedName>
    <definedName name="BNE_MESSAGES_HIDDEN" localSheetId="3" hidden="1">#REF!</definedName>
    <definedName name="BNE_MESSAGES_HIDDEN" localSheetId="1" hidden="1">#REF!</definedName>
    <definedName name="BNE_MESSAGES_HIDDEN" localSheetId="2" hidden="1">#REF!</definedName>
    <definedName name="_xlnm.Criteria" localSheetId="17">#REF!</definedName>
    <definedName name="_xlnm.Criteria" localSheetId="18">#REF!</definedName>
    <definedName name="_xlnm.Criteria" localSheetId="19">#REF!</definedName>
    <definedName name="_xlnm.Criteria" localSheetId="20">#REF!</definedName>
    <definedName name="_xlnm.Criteria" localSheetId="21">#REF!</definedName>
    <definedName name="_xlnm.Criteria" localSheetId="22">#REF!</definedName>
    <definedName name="_xlnm.Criteria" localSheetId="23">#REF!</definedName>
    <definedName name="_xlnm.Criteria" localSheetId="25">#REF!</definedName>
    <definedName name="_xlnm.Criteria" localSheetId="28">#REF!</definedName>
    <definedName name="_xlnm.Criteria" localSheetId="32">#REF!</definedName>
    <definedName name="_xlnm.Criteria" localSheetId="34">#REF!</definedName>
    <definedName name="_xlnm.Criteria" localSheetId="35">#REF!</definedName>
    <definedName name="_xlnm.Criteria" localSheetId="36">#REF!</definedName>
    <definedName name="_xlnm.Criteria" localSheetId="37">#REF!</definedName>
    <definedName name="_xlnm.Criteria" localSheetId="38">#REF!</definedName>
    <definedName name="_xlnm.Criteria" localSheetId="39">#REF!</definedName>
    <definedName name="_xlnm.Criteria" localSheetId="50">#REF!</definedName>
    <definedName name="_xlnm.Criteria" localSheetId="51">#REF!</definedName>
    <definedName name="_xlnm.Criteria" localSheetId="52">#REF!</definedName>
    <definedName name="_xlnm.Criteria" localSheetId="9">#REF!</definedName>
    <definedName name="_xlnm.Criteria" localSheetId="29">#REF!</definedName>
    <definedName name="_xlnm.Criteria" localSheetId="30">#REF!</definedName>
    <definedName name="_xlnm.Criteria">#REF!</definedName>
    <definedName name="custgrowth" localSheetId="28">#REF!</definedName>
    <definedName name="custgrowth" localSheetId="9">#REF!</definedName>
    <definedName name="custgrowth" localSheetId="29">#REF!</definedName>
    <definedName name="custgrowth" localSheetId="30">#REF!</definedName>
    <definedName name="custgrowth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20">#REF!</definedName>
    <definedName name="_xlnm.Database" localSheetId="21">#REF!</definedName>
    <definedName name="_xlnm.Database" localSheetId="22">#REF!</definedName>
    <definedName name="_xlnm.Database" localSheetId="23">#REF!</definedName>
    <definedName name="_xlnm.Database" localSheetId="25">#REF!</definedName>
    <definedName name="_xlnm.Database" localSheetId="28">#REF!</definedName>
    <definedName name="_xlnm.Database" localSheetId="32">#REF!</definedName>
    <definedName name="_xlnm.Database" localSheetId="34">#REF!</definedName>
    <definedName name="_xlnm.Database" localSheetId="35">#REF!</definedName>
    <definedName name="_xlnm.Database" localSheetId="36">#REF!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50">#REF!</definedName>
    <definedName name="_xlnm.Database" localSheetId="51">#REF!</definedName>
    <definedName name="_xlnm.Database" localSheetId="52">#REF!</definedName>
    <definedName name="_xlnm.Database" localSheetId="9">#REF!</definedName>
    <definedName name="_xlnm.Database" localSheetId="29">#REF!</definedName>
    <definedName name="_xlnm.Database" localSheetId="30">#REF!</definedName>
    <definedName name="_xlnm.Database">#REF!</definedName>
    <definedName name="DATABASE1" localSheetId="17">#REF!</definedName>
    <definedName name="DATABASE1" localSheetId="18">#REF!</definedName>
    <definedName name="DATABASE1" localSheetId="19">#REF!</definedName>
    <definedName name="DATABASE1" localSheetId="20">#REF!</definedName>
    <definedName name="DATABASE1" localSheetId="21">#REF!</definedName>
    <definedName name="DATABASE1" localSheetId="22">#REF!</definedName>
    <definedName name="DATABASE1" localSheetId="23">#REF!</definedName>
    <definedName name="DATABASE1" localSheetId="25">#REF!</definedName>
    <definedName name="DATABASE1" localSheetId="32">#REF!</definedName>
    <definedName name="DATABASE1" localSheetId="34">#REF!</definedName>
    <definedName name="DATABASE1" localSheetId="35">#REF!</definedName>
    <definedName name="DATABASE1" localSheetId="36">#REF!</definedName>
    <definedName name="DATABASE1" localSheetId="37">#REF!</definedName>
    <definedName name="DATABASE1" localSheetId="38">#REF!</definedName>
    <definedName name="DATABASE1" localSheetId="39">#REF!</definedName>
    <definedName name="DATABASE1" localSheetId="50">#REF!</definedName>
    <definedName name="DATABASE1" localSheetId="51">#REF!</definedName>
    <definedName name="DATABASE1" localSheetId="52">#REF!</definedName>
    <definedName name="DATABASE1" localSheetId="9">#REF!</definedName>
    <definedName name="DATABASE1">#REF!</definedName>
    <definedName name="Database2" localSheetId="34">#REF!</definedName>
    <definedName name="Database2" localSheetId="35">#REF!</definedName>
    <definedName name="Database2" localSheetId="36">#REF!</definedName>
    <definedName name="Database2" localSheetId="37">#REF!</definedName>
    <definedName name="Database2" localSheetId="38">#REF!</definedName>
    <definedName name="Database2" localSheetId="39">#REF!</definedName>
    <definedName name="Database2" localSheetId="50">#REF!</definedName>
    <definedName name="Database2" localSheetId="51">#REF!</definedName>
    <definedName name="Database2" localSheetId="52">#REF!</definedName>
    <definedName name="Database2">#REF!</definedName>
    <definedName name="ddddd" localSheetId="9">#REF!</definedName>
    <definedName name="ddddd">#REF!</definedName>
    <definedName name="defoct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defoct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Detail" localSheetId="21">#REF!</definedName>
    <definedName name="Detail" localSheetId="22">#REF!</definedName>
    <definedName name="Detail" localSheetId="23">#REF!</definedName>
    <definedName name="Detail" localSheetId="25">#REF!</definedName>
    <definedName name="Detail" localSheetId="32">#REF!</definedName>
    <definedName name="Detail" localSheetId="34">#REF!</definedName>
    <definedName name="Detail" localSheetId="35">#REF!</definedName>
    <definedName name="Detail" localSheetId="36">#REF!</definedName>
    <definedName name="Detail" localSheetId="37">#REF!</definedName>
    <definedName name="Detail" localSheetId="38">#REF!</definedName>
    <definedName name="Detail" localSheetId="39">#REF!</definedName>
    <definedName name="Detail" localSheetId="50">#REF!</definedName>
    <definedName name="Detail" localSheetId="51">#REF!</definedName>
    <definedName name="Detail" localSheetId="52">#REF!</definedName>
    <definedName name="Detail" localSheetId="9">#REF!</definedName>
    <definedName name="Detail">#REF!</definedName>
    <definedName name="DPROD" localSheetId="32">#REF!</definedName>
    <definedName name="DPROD" localSheetId="50">#REF!</definedName>
    <definedName name="DPROD" localSheetId="51">#REF!</definedName>
    <definedName name="DPROD" localSheetId="52">#REF!</definedName>
    <definedName name="DPROD" localSheetId="9">#REF!</definedName>
    <definedName name="DPROD">#REF!</definedName>
    <definedName name="e1p1" localSheetId="17">#REF!</definedName>
    <definedName name="e1p1" localSheetId="18">#REF!</definedName>
    <definedName name="e1p1" localSheetId="19">#REF!</definedName>
    <definedName name="e1p1" localSheetId="20">#REF!</definedName>
    <definedName name="e1p1" localSheetId="21">#REF!</definedName>
    <definedName name="e1p1" localSheetId="22">#REF!</definedName>
    <definedName name="e1p1" localSheetId="23">#REF!</definedName>
    <definedName name="e1p1" localSheetId="25">#REF!</definedName>
    <definedName name="e1p1" localSheetId="32">#REF!</definedName>
    <definedName name="e1p1" localSheetId="34">#REF!</definedName>
    <definedName name="e1p1" localSheetId="35">#REF!</definedName>
    <definedName name="e1p1" localSheetId="36">#REF!</definedName>
    <definedName name="e1p1" localSheetId="37">#REF!</definedName>
    <definedName name="e1p1" localSheetId="38">#REF!</definedName>
    <definedName name="e1p1" localSheetId="39">#REF!</definedName>
    <definedName name="e1p1" localSheetId="50">#REF!</definedName>
    <definedName name="e1p1" localSheetId="51">#REF!</definedName>
    <definedName name="e1p1" localSheetId="52">#REF!</definedName>
    <definedName name="e1p1" localSheetId="9">#REF!</definedName>
    <definedName name="e1p1">#REF!</definedName>
    <definedName name="e1p2" localSheetId="17">#REF!</definedName>
    <definedName name="e1p2" localSheetId="18">#REF!</definedName>
    <definedName name="e1p2" localSheetId="19">#REF!</definedName>
    <definedName name="e1p2" localSheetId="20">#REF!</definedName>
    <definedName name="e1p2" localSheetId="21">#REF!</definedName>
    <definedName name="e1p2" localSheetId="22">#REF!</definedName>
    <definedName name="e1p2" localSheetId="23">#REF!</definedName>
    <definedName name="e1p2" localSheetId="25">#REF!</definedName>
    <definedName name="e1p2" localSheetId="32">#REF!</definedName>
    <definedName name="e1p2" localSheetId="34">#REF!</definedName>
    <definedName name="e1p2" localSheetId="35">#REF!</definedName>
    <definedName name="e1p2" localSheetId="36">#REF!</definedName>
    <definedName name="e1p2" localSheetId="37">#REF!</definedName>
    <definedName name="e1p2" localSheetId="38">#REF!</definedName>
    <definedName name="e1p2" localSheetId="39">#REF!</definedName>
    <definedName name="e1p2" localSheetId="50">#REF!</definedName>
    <definedName name="e1p2" localSheetId="51">#REF!</definedName>
    <definedName name="e1p2" localSheetId="52">#REF!</definedName>
    <definedName name="e1p2" localSheetId="9">#REF!</definedName>
    <definedName name="e1p2">#REF!</definedName>
    <definedName name="e1p3" localSheetId="9">#REF!</definedName>
    <definedName name="e1p3">#REF!</definedName>
    <definedName name="e2p1" localSheetId="17">#REF!</definedName>
    <definedName name="e2p1" localSheetId="18">#REF!</definedName>
    <definedName name="e2p1" localSheetId="19">#REF!</definedName>
    <definedName name="e2p1" localSheetId="20">#REF!</definedName>
    <definedName name="e2p1" localSheetId="21">#REF!</definedName>
    <definedName name="e2p1" localSheetId="22">#REF!</definedName>
    <definedName name="e2p1" localSheetId="23">#REF!</definedName>
    <definedName name="e2p1" localSheetId="25">#REF!</definedName>
    <definedName name="e2p1" localSheetId="32">#REF!</definedName>
    <definedName name="e2p1" localSheetId="34">#REF!</definedName>
    <definedName name="e2p1" localSheetId="35">#REF!</definedName>
    <definedName name="e2p1" localSheetId="36">#REF!</definedName>
    <definedName name="e2p1" localSheetId="37">#REF!</definedName>
    <definedName name="e2p1" localSheetId="38">#REF!</definedName>
    <definedName name="e2p1" localSheetId="39">#REF!</definedName>
    <definedName name="e2p1" localSheetId="50">#REF!</definedName>
    <definedName name="e2p1" localSheetId="51">#REF!</definedName>
    <definedName name="e2p1" localSheetId="52">#REF!</definedName>
    <definedName name="e2p1" localSheetId="9">#REF!</definedName>
    <definedName name="e2p1">#REF!</definedName>
    <definedName name="e3p1" localSheetId="17">#REF!</definedName>
    <definedName name="e3p1" localSheetId="18">#REF!</definedName>
    <definedName name="e3p1" localSheetId="19">#REF!</definedName>
    <definedName name="e3p1" localSheetId="20">#REF!</definedName>
    <definedName name="e3p1" localSheetId="21">#REF!</definedName>
    <definedName name="e3p1" localSheetId="22">#REF!</definedName>
    <definedName name="e3p1" localSheetId="23">#REF!</definedName>
    <definedName name="e3p1" localSheetId="25">#REF!</definedName>
    <definedName name="e3p1" localSheetId="32">#REF!</definedName>
    <definedName name="e3p1" localSheetId="34">#REF!</definedName>
    <definedName name="e3p1" localSheetId="35">#REF!</definedName>
    <definedName name="e3p1" localSheetId="36">#REF!</definedName>
    <definedName name="e3p1" localSheetId="37">#REF!</definedName>
    <definedName name="e3p1" localSheetId="38">#REF!</definedName>
    <definedName name="e3p1" localSheetId="39">#REF!</definedName>
    <definedName name="e3p1" localSheetId="50">#REF!</definedName>
    <definedName name="e3p1" localSheetId="51">#REF!</definedName>
    <definedName name="e3p1" localSheetId="52">#REF!</definedName>
    <definedName name="e3p1" localSheetId="9">#REF!</definedName>
    <definedName name="e3p1">#REF!</definedName>
    <definedName name="e3p2" localSheetId="17">#REF!</definedName>
    <definedName name="e3p2" localSheetId="18">#REF!</definedName>
    <definedName name="e3p2" localSheetId="19">#REF!</definedName>
    <definedName name="e3p2" localSheetId="20">#REF!</definedName>
    <definedName name="e3p2" localSheetId="21">#REF!</definedName>
    <definedName name="e3p2" localSheetId="22">#REF!</definedName>
    <definedName name="e3p2" localSheetId="23">#REF!</definedName>
    <definedName name="e3p2" localSheetId="25">#REF!</definedName>
    <definedName name="e3p2" localSheetId="32">#REF!</definedName>
    <definedName name="e3p2" localSheetId="34">#REF!</definedName>
    <definedName name="e3p2" localSheetId="35">#REF!</definedName>
    <definedName name="e3p2" localSheetId="36">#REF!</definedName>
    <definedName name="e3p2" localSheetId="37">#REF!</definedName>
    <definedName name="e3p2" localSheetId="38">#REF!</definedName>
    <definedName name="e3p2" localSheetId="39">#REF!</definedName>
    <definedName name="e3p2" localSheetId="50">#REF!</definedName>
    <definedName name="e3p2" localSheetId="51">#REF!</definedName>
    <definedName name="e3p2" localSheetId="52">#REF!</definedName>
    <definedName name="e3p2" localSheetId="9">#REF!</definedName>
    <definedName name="e3p2">#REF!</definedName>
    <definedName name="e4p1" localSheetId="17">#REF!</definedName>
    <definedName name="e4p1" localSheetId="18">#REF!</definedName>
    <definedName name="e4p1" localSheetId="19">#REF!</definedName>
    <definedName name="e4p1" localSheetId="20">#REF!</definedName>
    <definedName name="e4p1" localSheetId="21">#REF!</definedName>
    <definedName name="e4p1" localSheetId="22">#REF!</definedName>
    <definedName name="e4p1" localSheetId="23">#REF!</definedName>
    <definedName name="e4p1" localSheetId="25">#REF!</definedName>
    <definedName name="e4p1" localSheetId="28">#REF!</definedName>
    <definedName name="e4p1" localSheetId="32">#REF!</definedName>
    <definedName name="e4p1" localSheetId="34">#REF!</definedName>
    <definedName name="e4p1" localSheetId="35">#REF!</definedName>
    <definedName name="e4p1" localSheetId="36">#REF!</definedName>
    <definedName name="e4p1" localSheetId="37">#REF!</definedName>
    <definedName name="e4p1" localSheetId="38">#REF!</definedName>
    <definedName name="e4p1" localSheetId="39">#REF!</definedName>
    <definedName name="e4p1" localSheetId="50">#REF!</definedName>
    <definedName name="e4p1" localSheetId="51">#REF!</definedName>
    <definedName name="e4p1" localSheetId="52">#REF!</definedName>
    <definedName name="e4p1" localSheetId="9">#REF!</definedName>
    <definedName name="e4p1" localSheetId="29">#REF!</definedName>
    <definedName name="e4p1" localSheetId="30">#REF!</definedName>
    <definedName name="e4p1">#REF!</definedName>
    <definedName name="e5p1" localSheetId="17">#REF!</definedName>
    <definedName name="e5p1" localSheetId="18">#REF!</definedName>
    <definedName name="e5p1" localSheetId="19">#REF!</definedName>
    <definedName name="e5p1" localSheetId="20">#REF!</definedName>
    <definedName name="e5p1" localSheetId="21">#REF!</definedName>
    <definedName name="e5p1" localSheetId="22">#REF!</definedName>
    <definedName name="e5p1" localSheetId="23">#REF!</definedName>
    <definedName name="e5p1" localSheetId="25">#REF!</definedName>
    <definedName name="e5p1" localSheetId="28">#REF!</definedName>
    <definedName name="e5p1" localSheetId="32">#REF!</definedName>
    <definedName name="e5p1" localSheetId="34">#REF!</definedName>
    <definedName name="e5p1" localSheetId="35">#REF!</definedName>
    <definedName name="e5p1" localSheetId="36">#REF!</definedName>
    <definedName name="e5p1" localSheetId="37">#REF!</definedName>
    <definedName name="e5p1" localSheetId="38">#REF!</definedName>
    <definedName name="e5p1" localSheetId="39">#REF!</definedName>
    <definedName name="e5p1" localSheetId="50">#REF!</definedName>
    <definedName name="e5p1" localSheetId="51">#REF!</definedName>
    <definedName name="e5p1" localSheetId="52">#REF!</definedName>
    <definedName name="e5p1" localSheetId="9">#REF!</definedName>
    <definedName name="e5p1" localSheetId="29">#REF!</definedName>
    <definedName name="e5p1" localSheetId="30">#REF!</definedName>
    <definedName name="e5p1">#REF!</definedName>
    <definedName name="e5p2" localSheetId="17">#REF!</definedName>
    <definedName name="e5p2" localSheetId="18">#REF!</definedName>
    <definedName name="e5p2" localSheetId="19">#REF!</definedName>
    <definedName name="e5p2" localSheetId="20">#REF!</definedName>
    <definedName name="e5p2" localSheetId="21">#REF!</definedName>
    <definedName name="e5p2" localSheetId="22">#REF!</definedName>
    <definedName name="e5p2" localSheetId="23">#REF!</definedName>
    <definedName name="e5p2" localSheetId="25">#REF!</definedName>
    <definedName name="e5p2" localSheetId="28">#REF!</definedName>
    <definedName name="e5p2" localSheetId="32">#REF!</definedName>
    <definedName name="e5p2" localSheetId="34">#REF!</definedName>
    <definedName name="e5p2" localSheetId="35">#REF!</definedName>
    <definedName name="e5p2" localSheetId="36">#REF!</definedName>
    <definedName name="e5p2" localSheetId="37">#REF!</definedName>
    <definedName name="e5p2" localSheetId="38">#REF!</definedName>
    <definedName name="e5p2" localSheetId="39">#REF!</definedName>
    <definedName name="e5p2" localSheetId="50">#REF!</definedName>
    <definedName name="e5p2" localSheetId="51">#REF!</definedName>
    <definedName name="e5p2" localSheetId="52">#REF!</definedName>
    <definedName name="e5p2" localSheetId="9">#REF!</definedName>
    <definedName name="e5p2" localSheetId="29">#REF!</definedName>
    <definedName name="e5p2" localSheetId="30">#REF!</definedName>
    <definedName name="e5p2">#REF!</definedName>
    <definedName name="e5p3" localSheetId="17">#REF!</definedName>
    <definedName name="e5p3" localSheetId="18">#REF!</definedName>
    <definedName name="e5p3" localSheetId="19">#REF!</definedName>
    <definedName name="e5p3" localSheetId="20">#REF!</definedName>
    <definedName name="e5p3" localSheetId="21">#REF!</definedName>
    <definedName name="e5p3" localSheetId="22">#REF!</definedName>
    <definedName name="e5p3" localSheetId="23">#REF!</definedName>
    <definedName name="e5p3" localSheetId="25">#REF!</definedName>
    <definedName name="e5p3" localSheetId="28">#REF!</definedName>
    <definedName name="e5p3" localSheetId="32">#REF!</definedName>
    <definedName name="e5p3" localSheetId="34">#REF!</definedName>
    <definedName name="e5p3" localSheetId="35">#REF!</definedName>
    <definedName name="e5p3" localSheetId="36">#REF!</definedName>
    <definedName name="e5p3" localSheetId="37">#REF!</definedName>
    <definedName name="e5p3" localSheetId="38">#REF!</definedName>
    <definedName name="e5p3" localSheetId="39">#REF!</definedName>
    <definedName name="e5p3" localSheetId="50">#REF!</definedName>
    <definedName name="e5p3" localSheetId="51">#REF!</definedName>
    <definedName name="e5p3" localSheetId="52">#REF!</definedName>
    <definedName name="e5p3" localSheetId="9">#REF!</definedName>
    <definedName name="e5p3" localSheetId="29">#REF!</definedName>
    <definedName name="e5p3" localSheetId="30">#REF!</definedName>
    <definedName name="e5p3">#REF!</definedName>
    <definedName name="e5p4" localSheetId="17">#REF!</definedName>
    <definedName name="e5p4" localSheetId="18">#REF!</definedName>
    <definedName name="e5p4" localSheetId="19">#REF!</definedName>
    <definedName name="e5p4" localSheetId="20">#REF!</definedName>
    <definedName name="e5p4" localSheetId="21">#REF!</definedName>
    <definedName name="e5p4" localSheetId="22">#REF!</definedName>
    <definedName name="e5p4" localSheetId="23">#REF!</definedName>
    <definedName name="e5p4" localSheetId="25">#REF!</definedName>
    <definedName name="e5p4" localSheetId="28">#REF!</definedName>
    <definedName name="e5p4" localSheetId="32">#REF!</definedName>
    <definedName name="e5p4" localSheetId="34">#REF!</definedName>
    <definedName name="e5p4" localSheetId="35">#REF!</definedName>
    <definedName name="e5p4" localSheetId="36">#REF!</definedName>
    <definedName name="e5p4" localSheetId="37">#REF!</definedName>
    <definedName name="e5p4" localSheetId="38">#REF!</definedName>
    <definedName name="e5p4" localSheetId="39">#REF!</definedName>
    <definedName name="e5p4" localSheetId="50">#REF!</definedName>
    <definedName name="e5p4" localSheetId="51">#REF!</definedName>
    <definedName name="e5p4" localSheetId="52">#REF!</definedName>
    <definedName name="e5p4" localSheetId="9">#REF!</definedName>
    <definedName name="e5p4" localSheetId="29">#REF!</definedName>
    <definedName name="e5p4" localSheetId="30">#REF!</definedName>
    <definedName name="e5p4">#REF!</definedName>
    <definedName name="e7p1" localSheetId="17">#REF!</definedName>
    <definedName name="e7p1" localSheetId="18">#REF!</definedName>
    <definedName name="e7p1" localSheetId="19">#REF!</definedName>
    <definedName name="e7p1" localSheetId="20">#REF!</definedName>
    <definedName name="e7p1" localSheetId="21">#REF!</definedName>
    <definedName name="e7p1" localSheetId="22">#REF!</definedName>
    <definedName name="e7p1" localSheetId="23">#REF!</definedName>
    <definedName name="e7p1" localSheetId="25">#REF!</definedName>
    <definedName name="e7p1" localSheetId="28">#REF!</definedName>
    <definedName name="e7p1" localSheetId="32">#REF!</definedName>
    <definedName name="e7p1" localSheetId="34">#REF!</definedName>
    <definedName name="e7p1" localSheetId="35">#REF!</definedName>
    <definedName name="e7p1" localSheetId="36">#REF!</definedName>
    <definedName name="e7p1" localSheetId="37">#REF!</definedName>
    <definedName name="e7p1" localSheetId="38">#REF!</definedName>
    <definedName name="e7p1" localSheetId="39">#REF!</definedName>
    <definedName name="e7p1" localSheetId="50">#REF!</definedName>
    <definedName name="e7p1" localSheetId="51">#REF!</definedName>
    <definedName name="e7p1" localSheetId="52">#REF!</definedName>
    <definedName name="e7p1" localSheetId="9">#REF!</definedName>
    <definedName name="e7p1" localSheetId="29">#REF!</definedName>
    <definedName name="e7p1" localSheetId="30">#REF!</definedName>
    <definedName name="e7p1">#REF!</definedName>
    <definedName name="e8p1" localSheetId="17">#REF!</definedName>
    <definedName name="e8p1" localSheetId="18">#REF!</definedName>
    <definedName name="e8p1" localSheetId="19">#REF!</definedName>
    <definedName name="e8p1" localSheetId="20">#REF!</definedName>
    <definedName name="e8p1" localSheetId="21">#REF!</definedName>
    <definedName name="e8p1" localSheetId="22">#REF!</definedName>
    <definedName name="e8p1" localSheetId="23">#REF!</definedName>
    <definedName name="e8p1" localSheetId="25">#REF!</definedName>
    <definedName name="e8p1" localSheetId="28">#REF!</definedName>
    <definedName name="e8p1" localSheetId="32">#REF!</definedName>
    <definedName name="e8p1" localSheetId="34">#REF!</definedName>
    <definedName name="e8p1" localSheetId="35">#REF!</definedName>
    <definedName name="e8p1" localSheetId="36">#REF!</definedName>
    <definedName name="e8p1" localSheetId="37">#REF!</definedName>
    <definedName name="e8p1" localSheetId="38">#REF!</definedName>
    <definedName name="e8p1" localSheetId="39">#REF!</definedName>
    <definedName name="e8p1" localSheetId="50">#REF!</definedName>
    <definedName name="e8p1" localSheetId="51">#REF!</definedName>
    <definedName name="e8p1" localSheetId="52">#REF!</definedName>
    <definedName name="e8p1" localSheetId="9">#REF!</definedName>
    <definedName name="e8p1" localSheetId="29">#REF!</definedName>
    <definedName name="e8p1" localSheetId="30">#REF!</definedName>
    <definedName name="e8p1">#REF!</definedName>
    <definedName name="emeployees" localSheetId="14" hidden="1">{"assumptions",#N/A,TRUE,"NETINPUT";"monthly",#N/A,TRUE,"NETINPUT";"detailed monthly",#N/A,TRUE,"NETINPUT"}</definedName>
    <definedName name="emeployees" hidden="1">{"assumptions",#N/A,TRUE,"NETINPUT";"monthly",#N/A,TRUE,"NETINPUT";"detailed monthly",#N/A,TRUE,"NETINPUT"}</definedName>
    <definedName name="_xlnm.Extract" localSheetId="28">#REF!</definedName>
    <definedName name="_xlnm.Extract" localSheetId="9">#REF!</definedName>
    <definedName name="_xlnm.Extract" localSheetId="29">#REF!</definedName>
    <definedName name="_xlnm.Extract" localSheetId="30">#REF!</definedName>
    <definedName name="_xlnm.Extract">#REF!</definedName>
    <definedName name="f1p1" localSheetId="50">'F1'!$A$1:$K$51</definedName>
    <definedName name="f1p1" localSheetId="51">'F2'!#REF!</definedName>
    <definedName name="f1p1" localSheetId="9">#REF!</definedName>
    <definedName name="f1p1">#REF!</definedName>
    <definedName name="f2p1" localSheetId="21">#REF!</definedName>
    <definedName name="f2p1" localSheetId="22">#REF!</definedName>
    <definedName name="f2p1" localSheetId="23">#REF!</definedName>
    <definedName name="f2p1" localSheetId="25">#REF!</definedName>
    <definedName name="f2p1" localSheetId="32">#REF!</definedName>
    <definedName name="f2p1" localSheetId="34">#REF!</definedName>
    <definedName name="f2p1" localSheetId="35">#REF!</definedName>
    <definedName name="f2p1" localSheetId="36">#REF!</definedName>
    <definedName name="f2p1" localSheetId="37">#REF!</definedName>
    <definedName name="f2p1" localSheetId="38">#REF!</definedName>
    <definedName name="f2p1" localSheetId="39">#REF!</definedName>
    <definedName name="f2p1" localSheetId="50">'F1'!#REF!</definedName>
    <definedName name="f2p1" localSheetId="51">'F2'!$A$1:$K$50</definedName>
    <definedName name="f2p1" localSheetId="52">#REF!</definedName>
    <definedName name="f2p1" localSheetId="9">#REF!</definedName>
    <definedName name="f2p1">#REF!</definedName>
    <definedName name="f3p1" localSheetId="21">#REF!</definedName>
    <definedName name="f3p1" localSheetId="22">#REF!</definedName>
    <definedName name="f3p1" localSheetId="23">#REF!</definedName>
    <definedName name="f3p1" localSheetId="25">#REF!</definedName>
    <definedName name="f3p1" localSheetId="32">#REF!</definedName>
    <definedName name="f3p1" localSheetId="34">#REF!</definedName>
    <definedName name="f3p1" localSheetId="35">#REF!</definedName>
    <definedName name="f3p1" localSheetId="36">#REF!</definedName>
    <definedName name="f3p1" localSheetId="37">#REF!</definedName>
    <definedName name="f3p1" localSheetId="38">#REF!</definedName>
    <definedName name="f3p1" localSheetId="39">#REF!</definedName>
    <definedName name="f3p1" localSheetId="50">'F1'!#REF!</definedName>
    <definedName name="f3p1" localSheetId="51">'F2'!#REF!</definedName>
    <definedName name="f3p1" localSheetId="52">#REF!</definedName>
    <definedName name="f3p1" localSheetId="9">#REF!</definedName>
    <definedName name="f3p1">#REF!</definedName>
    <definedName name="HEADER" localSheetId="9">#REF!</definedName>
    <definedName name="HEADER" localSheetId="29">#REF!</definedName>
    <definedName name="HEADER" localSheetId="30">#REF!</definedName>
    <definedName name="HEADER">#REF!</definedName>
    <definedName name="help" localSheetId="9">#REF!</definedName>
    <definedName name="help">#REF!</definedName>
    <definedName name="hjk" localSheetId="9">#REF!</definedName>
    <definedName name="hjk">#REF!</definedName>
    <definedName name="hkj" localSheetId="9">#REF!</definedName>
    <definedName name="hkj">#REF!</definedName>
    <definedName name="Inc_Stat" localSheetId="21">#REF!</definedName>
    <definedName name="Inc_Stat" localSheetId="22">#REF!</definedName>
    <definedName name="Inc_Stat" localSheetId="23">#REF!</definedName>
    <definedName name="Inc_Stat" localSheetId="25">#REF!</definedName>
    <definedName name="Inc_Stat" localSheetId="32">#REF!</definedName>
    <definedName name="Inc_Stat" localSheetId="34">#REF!</definedName>
    <definedName name="Inc_Stat" localSheetId="35">#REF!</definedName>
    <definedName name="Inc_Stat" localSheetId="36">#REF!</definedName>
    <definedName name="Inc_Stat" localSheetId="37">#REF!</definedName>
    <definedName name="Inc_Stat" localSheetId="38">#REF!</definedName>
    <definedName name="Inc_Stat" localSheetId="39">#REF!</definedName>
    <definedName name="Inc_Stat" localSheetId="50">#REF!</definedName>
    <definedName name="Inc_Stat" localSheetId="51">#REF!</definedName>
    <definedName name="Inc_Stat" localSheetId="52">#REF!</definedName>
    <definedName name="Inc_Stat" localSheetId="9">#REF!</definedName>
    <definedName name="Inc_Stat">#REF!</definedName>
    <definedName name="jhk" localSheetId="9">#REF!</definedName>
    <definedName name="jhk">#REF!</definedName>
    <definedName name="Load84Header" localSheetId="28">#REF!</definedName>
    <definedName name="Load84Header" localSheetId="9">#REF!</definedName>
    <definedName name="Load84Header" localSheetId="29">#REF!</definedName>
    <definedName name="Load84Header" localSheetId="30">#REF!</definedName>
    <definedName name="Load84Header">#REF!</definedName>
    <definedName name="Load85" localSheetId="28">#REF!</definedName>
    <definedName name="Load85" localSheetId="9">#REF!</definedName>
    <definedName name="Load85" localSheetId="29">#REF!</definedName>
    <definedName name="Load85" localSheetId="30">#REF!</definedName>
    <definedName name="Load85">#REF!</definedName>
    <definedName name="Load85Header" localSheetId="28">#REF!</definedName>
    <definedName name="Load85Header" localSheetId="9">#REF!</definedName>
    <definedName name="Load85Header" localSheetId="29">#REF!</definedName>
    <definedName name="Load85Header" localSheetId="30">#REF!</definedName>
    <definedName name="Load85Header">#REF!</definedName>
    <definedName name="Load86" localSheetId="28">#REF!</definedName>
    <definedName name="Load86" localSheetId="9">#REF!</definedName>
    <definedName name="Load86" localSheetId="29">#REF!</definedName>
    <definedName name="Load86" localSheetId="30">#REF!</definedName>
    <definedName name="Load86">#REF!</definedName>
    <definedName name="Load86Header" localSheetId="28">#REF!</definedName>
    <definedName name="Load86Header" localSheetId="9">#REF!</definedName>
    <definedName name="Load86Header" localSheetId="29">#REF!</definedName>
    <definedName name="Load86Header" localSheetId="30">#REF!</definedName>
    <definedName name="Load86Header">#REF!</definedName>
    <definedName name="Load87" localSheetId="28">#REF!</definedName>
    <definedName name="Load87" localSheetId="9">#REF!</definedName>
    <definedName name="Load87" localSheetId="29">#REF!</definedName>
    <definedName name="Load87" localSheetId="30">#REF!</definedName>
    <definedName name="Load87">#REF!</definedName>
    <definedName name="LoadHeader" localSheetId="28">#REF!</definedName>
    <definedName name="LoadHeader" localSheetId="9">#REF!</definedName>
    <definedName name="LoadHeader" localSheetId="29">#REF!</definedName>
    <definedName name="LoadHeader" localSheetId="30">#REF!</definedName>
    <definedName name="LoadHeader">#REF!</definedName>
    <definedName name="LoadHeaderHistoric" localSheetId="28">#REF!</definedName>
    <definedName name="LoadHeaderHistoric" localSheetId="9">#REF!</definedName>
    <definedName name="LoadHeaderHistoric" localSheetId="29">#REF!</definedName>
    <definedName name="LoadHeaderHistoric" localSheetId="30">#REF!</definedName>
    <definedName name="LoadHeaderHistoric">#REF!</definedName>
    <definedName name="M" localSheetId="28">#REF!</definedName>
    <definedName name="M" localSheetId="29">#REF!</definedName>
    <definedName name="M" localSheetId="30">#REF!</definedName>
    <definedName name="M">#REF!</definedName>
    <definedName name="MACRO1" localSheetId="17">#REF!</definedName>
    <definedName name="MACRO1" localSheetId="18">#REF!</definedName>
    <definedName name="MACRO1" localSheetId="19">#REF!</definedName>
    <definedName name="MACRO1" localSheetId="20">#REF!</definedName>
    <definedName name="MACRO1" localSheetId="21">#REF!</definedName>
    <definedName name="MACRO1" localSheetId="22">#REF!</definedName>
    <definedName name="MACRO1" localSheetId="23">#REF!</definedName>
    <definedName name="MACRO1" localSheetId="25">#REF!</definedName>
    <definedName name="MACRO1" localSheetId="28">#REF!</definedName>
    <definedName name="MACRO1" localSheetId="32">#REF!</definedName>
    <definedName name="MACRO1" localSheetId="34">#REF!</definedName>
    <definedName name="MACRO1" localSheetId="35">#REF!</definedName>
    <definedName name="MACRO1" localSheetId="36">#REF!</definedName>
    <definedName name="MACRO1" localSheetId="37">#REF!</definedName>
    <definedName name="MACRO1" localSheetId="38">#REF!</definedName>
    <definedName name="MACRO1" localSheetId="39">#REF!</definedName>
    <definedName name="MACRO1" localSheetId="50">#REF!</definedName>
    <definedName name="MACRO1" localSheetId="51">#REF!</definedName>
    <definedName name="MACRO1" localSheetId="52">#REF!</definedName>
    <definedName name="MACRO1" localSheetId="9">#REF!</definedName>
    <definedName name="MACRO1" localSheetId="29">#REF!</definedName>
    <definedName name="MACRO1" localSheetId="30">#REF!</definedName>
    <definedName name="MACRO1">#REF!</definedName>
    <definedName name="minsys" localSheetId="28">#REF!</definedName>
    <definedName name="minsys" localSheetId="9">#REF!</definedName>
    <definedName name="minsys" localSheetId="29">#REF!</definedName>
    <definedName name="minsys" localSheetId="30">#REF!</definedName>
    <definedName name="minsys">#REF!</definedName>
    <definedName name="ns" localSheetId="9">#REF!</definedName>
    <definedName name="ns">#REF!</definedName>
    <definedName name="PAGE" localSheetId="9">#REF!</definedName>
    <definedName name="PAGE" localSheetId="29">#REF!</definedName>
    <definedName name="PAGE" localSheetId="30">#REF!</definedName>
    <definedName name="PAGE">#REF!</definedName>
    <definedName name="PAGE1" localSheetId="9">#REF!</definedName>
    <definedName name="PAGE1" localSheetId="29">#REF!</definedName>
    <definedName name="PAGE1" localSheetId="30">#REF!</definedName>
    <definedName name="PAGE1">#REF!</definedName>
    <definedName name="PAGE10" localSheetId="9">#REF!</definedName>
    <definedName name="PAGE10" localSheetId="29">#REF!</definedName>
    <definedName name="PAGE10" localSheetId="30">#REF!</definedName>
    <definedName name="PAGE10">#REF!</definedName>
    <definedName name="PAGE2" localSheetId="28">#REF!</definedName>
    <definedName name="PAGE2" localSheetId="9">#REF!</definedName>
    <definedName name="PAGE2" localSheetId="29">#REF!</definedName>
    <definedName name="PAGE2" localSheetId="30">#REF!</definedName>
    <definedName name="PAGE2">#REF!</definedName>
    <definedName name="PAGE3" localSheetId="28">#REF!</definedName>
    <definedName name="PAGE3" localSheetId="9">#REF!</definedName>
    <definedName name="PAGE3" localSheetId="29">#REF!</definedName>
    <definedName name="PAGE3" localSheetId="30">#REF!</definedName>
    <definedName name="PAGE3">#REF!</definedName>
    <definedName name="PAGE4" localSheetId="28">#REF!</definedName>
    <definedName name="PAGE4" localSheetId="9">#REF!</definedName>
    <definedName name="PAGE4" localSheetId="29">#REF!</definedName>
    <definedName name="PAGE4" localSheetId="30">#REF!</definedName>
    <definedName name="PAGE4">#REF!</definedName>
    <definedName name="PAGE5" localSheetId="28">#REF!</definedName>
    <definedName name="PAGE5" localSheetId="9">#REF!</definedName>
    <definedName name="PAGE5" localSheetId="29">#REF!</definedName>
    <definedName name="PAGE5" localSheetId="30">#REF!</definedName>
    <definedName name="PAGE5">#REF!</definedName>
    <definedName name="PAGE6" localSheetId="28">#REF!</definedName>
    <definedName name="PAGE6" localSheetId="9">#REF!</definedName>
    <definedName name="PAGE6" localSheetId="29">#REF!</definedName>
    <definedName name="PAGE6" localSheetId="30">#REF!</definedName>
    <definedName name="PAGE6">#REF!</definedName>
    <definedName name="PAGE7" localSheetId="28">#REF!</definedName>
    <definedName name="PAGE7" localSheetId="9">#REF!</definedName>
    <definedName name="PAGE7" localSheetId="29">#REF!</definedName>
    <definedName name="PAGE7" localSheetId="30">#REF!</definedName>
    <definedName name="PAGE7">#REF!</definedName>
    <definedName name="PAGE8" localSheetId="28">#REF!</definedName>
    <definedName name="PAGE8" localSheetId="9">#REF!</definedName>
    <definedName name="PAGE8" localSheetId="29">#REF!</definedName>
    <definedName name="PAGE8" localSheetId="30">#REF!</definedName>
    <definedName name="PAGE8">#REF!</definedName>
    <definedName name="PAGE9" localSheetId="28">#REF!</definedName>
    <definedName name="PAGE9" localSheetId="9">#REF!</definedName>
    <definedName name="PAGE9" localSheetId="29">#REF!</definedName>
    <definedName name="PAGE9" localSheetId="30">#REF!</definedName>
    <definedName name="PAGE9">#REF!</definedName>
    <definedName name="PISDEC14" localSheetId="28">#REF!</definedName>
    <definedName name="PISDEC14" localSheetId="9">#REF!</definedName>
    <definedName name="PISDEC14">#REF!</definedName>
    <definedName name="PISDEC142" localSheetId="28">#REF!</definedName>
    <definedName name="PISDEC142" localSheetId="9">#REF!</definedName>
    <definedName name="PISDEC142" localSheetId="29">#REF!</definedName>
    <definedName name="PISDEC142" localSheetId="30">#REF!</definedName>
    <definedName name="PISDEC142">#REF!</definedName>
    <definedName name="PISDwnld" localSheetId="28">#REF!</definedName>
    <definedName name="PISDwnld" localSheetId="9">#REF!</definedName>
    <definedName name="PISDwnld">#REF!</definedName>
    <definedName name="PISDwnload" localSheetId="28">#REF!</definedName>
    <definedName name="PISDwnload" localSheetId="9">#REF!</definedName>
    <definedName name="PISDwnload">#REF!</definedName>
    <definedName name="Power55" localSheetId="28">#REF!</definedName>
    <definedName name="Power55" localSheetId="9">#REF!</definedName>
    <definedName name="Power55" localSheetId="29">#REF!</definedName>
    <definedName name="Power55" localSheetId="30">#REF!</definedName>
    <definedName name="Power55">#REF!</definedName>
    <definedName name="Power55Header" localSheetId="28">#REF!</definedName>
    <definedName name="Power55Header" localSheetId="9">#REF!</definedName>
    <definedName name="Power55Header" localSheetId="29">#REF!</definedName>
    <definedName name="Power55Header" localSheetId="30">#REF!</definedName>
    <definedName name="Power55Header">#REF!</definedName>
    <definedName name="Power56" localSheetId="28">#REF!</definedName>
    <definedName name="Power56" localSheetId="9">#REF!</definedName>
    <definedName name="Power56" localSheetId="29">#REF!</definedName>
    <definedName name="Power56" localSheetId="30">#REF!</definedName>
    <definedName name="Power56">#REF!</definedName>
    <definedName name="Power56Header" localSheetId="28">#REF!</definedName>
    <definedName name="Power56Header" localSheetId="9">#REF!</definedName>
    <definedName name="Power56Header" localSheetId="29">#REF!</definedName>
    <definedName name="Power56Header" localSheetId="30">#REF!</definedName>
    <definedName name="Power56Header">#REF!</definedName>
    <definedName name="PowerHeader" localSheetId="28">#REF!</definedName>
    <definedName name="PowerHeader" localSheetId="9">#REF!</definedName>
    <definedName name="PowerHeader" localSheetId="29">#REF!</definedName>
    <definedName name="PowerHeader" localSheetId="30">#REF!</definedName>
    <definedName name="PowerHeader">#REF!</definedName>
    <definedName name="PowerSum" localSheetId="28">#REF!</definedName>
    <definedName name="PowerSum" localSheetId="9">#REF!</definedName>
    <definedName name="PowerSum" localSheetId="29">#REF!</definedName>
    <definedName name="PowerSum" localSheetId="30">#REF!</definedName>
    <definedName name="PowerSum">#REF!</definedName>
    <definedName name="Print" localSheetId="28">#REF!</definedName>
    <definedName name="Print" localSheetId="9">#REF!</definedName>
    <definedName name="Print" localSheetId="29">#REF!</definedName>
    <definedName name="Print" localSheetId="30">#REF!</definedName>
    <definedName name="Print">#REF!</definedName>
    <definedName name="_xlnm.Print_Area" localSheetId="16">'A1'!$A$1:$K$52</definedName>
    <definedName name="_xlnm.Print_Area" localSheetId="17">'A2'!$A$1:$Q$47</definedName>
    <definedName name="_xlnm.Print_Area" localSheetId="18">'A3'!$A$1:$O$44</definedName>
    <definedName name="_xlnm.Print_Area" localSheetId="19">'A4'!$A$1:$K$32</definedName>
    <definedName name="_xlnm.Print_Area" localSheetId="20">'A5'!$A$1:$O$29</definedName>
    <definedName name="_xlnm.Print_Area" localSheetId="21">'B1'!$A$1:$I$43</definedName>
    <definedName name="_xlnm.Print_Area" localSheetId="22">'B2 P1'!$A$1:$K$42</definedName>
    <definedName name="_xlnm.Print_Area" localSheetId="23">'B2 P2'!$A$1:$N$40</definedName>
    <definedName name="_xlnm.Print_Area" localSheetId="24">'B3 P1'!$A$1:$K$43</definedName>
    <definedName name="_xlnm.Print_Area" localSheetId="25">'B3 P2'!$A$1:$N$40</definedName>
    <definedName name="_xlnm.Print_Area" localSheetId="26">'B4 P1-P2'!$A$1:$I$69</definedName>
    <definedName name="_xlnm.Print_Area" localSheetId="27">'B5 P1-P2'!$A$1:$X$21</definedName>
    <definedName name="_xlnm.Print_Area" localSheetId="28">'B5 P3'!$A$1:$N$46</definedName>
    <definedName name="_xlnm.Print_Area" localSheetId="31">'C1'!$A$1:$P$49</definedName>
    <definedName name="_xlnm.Print_Area" localSheetId="32">'C2 P1-P3'!$A$1:$AM$29</definedName>
    <definedName name="_xlnm.Print_Area" localSheetId="33">'C3'!$A$1:$I$33</definedName>
    <definedName name="_xlnm.Print_Area" localSheetId="34">'D1 P1'!$A$1:$M$31</definedName>
    <definedName name="_xlnm.Print_Area" localSheetId="35">'D1 P2'!$A$1:$M$25</definedName>
    <definedName name="_xlnm.Print_Area" localSheetId="36">'D2 P1'!$A$1:$Q$44</definedName>
    <definedName name="_xlnm.Print_Area" localSheetId="37">'D2 P2'!$A$1:$K$40</definedName>
    <definedName name="_xlnm.Print_Area" localSheetId="38">'D3'!$A$1:$H$30</definedName>
    <definedName name="_xlnm.Print_Area" localSheetId="39">'D4'!$A$1:$H$30</definedName>
    <definedName name="_xlnm.Print_Area" localSheetId="42">'E3'!$A$1:$D$51</definedName>
    <definedName name="_xlnm.Print_Area" localSheetId="44">'E5 P1'!$A$1:$D$33</definedName>
    <definedName name="_xlnm.Print_Area" localSheetId="45">'E5 P2'!$A$1:$D$56</definedName>
    <definedName name="_xlnm.Print_Area" localSheetId="47">'E7'!$A$1:$D$42</definedName>
    <definedName name="_xlnm.Print_Area" localSheetId="48">'E8'!$A$1:$D$35</definedName>
    <definedName name="_xlnm.Print_Area" localSheetId="49">'E9'!$A$1:$G$27</definedName>
    <definedName name="_xlnm.Print_Area" localSheetId="50">'F1'!$A$1:$K$51</definedName>
    <definedName name="_xlnm.Print_Area" localSheetId="51">'F2'!$A$1:$K$50</definedName>
    <definedName name="_xlnm.Print_Area" localSheetId="52">'F3'!$A$1:$P$30</definedName>
    <definedName name="_xlnm.Print_Area" localSheetId="8">'Income Tax Lead'!$A$1:$G$68</definedName>
    <definedName name="_xlnm.Print_Area" localSheetId="29">#REF!,#REF!,#REF!,#REF!,#REF!,#REF!,#REF!,#REF!,#REF!,#REF!,#REF!,#REF!,#REF!,#REF!,#REF!</definedName>
    <definedName name="_xlnm.Print_Area" localSheetId="30">'Lead Lag Reclass'!$A$1:$F$103</definedName>
    <definedName name="_xlnm.Print_Area" localSheetId="14">'RB-Reg Asset-Liab'!$A$1:$F$74</definedName>
    <definedName name="_xlnm.Print_Area" localSheetId="13">'RB-UNADJ-FERC BS'!$A$1:$B$89</definedName>
    <definedName name="_xlnm.Print_Area" localSheetId="4">'Rev Exp'!$A$1:$AO$173</definedName>
    <definedName name="_xlnm.Print_Area" localSheetId="6">'REVEXP-UNADJ-FERC IS'!$A$1:$E$166</definedName>
    <definedName name="_xlnm.Print_Area">#REF!,#REF!,#REF!,#REF!,#REF!,#REF!,#REF!,#REF!,#REF!,#REF!,#REF!,#REF!,#REF!,#REF!,#REF!</definedName>
    <definedName name="_xlnm.Print_Titles" localSheetId="23">'B2 P2'!$A:$C,'B2 P2'!$3:$6</definedName>
    <definedName name="_xlnm.Print_Titles" localSheetId="25">'B3 P2'!$A:$C</definedName>
    <definedName name="_xlnm.Print_Titles" localSheetId="32">'C2 P1-P3'!$A:$G</definedName>
    <definedName name="_xlnm.Print_Titles" localSheetId="40">'E1'!$3:$9</definedName>
    <definedName name="_xlnm.Print_Titles" localSheetId="41">'E2'!$3:$9</definedName>
    <definedName name="_xlnm.Print_Titles" localSheetId="42">'E3'!$5:$7</definedName>
    <definedName name="_xlnm.Print_Titles" localSheetId="47">'E7'!$3:$8</definedName>
    <definedName name="_xlnm.Print_Titles" localSheetId="3">'Fair Value'!$1:$8</definedName>
    <definedName name="_xlnm.Print_Titles" localSheetId="8">'Income Tax Lead'!$1:$3</definedName>
    <definedName name="_xlnm.Print_Titles" localSheetId="30">'Lead Lag Reclass'!$1:$6</definedName>
    <definedName name="_xlnm.Print_Titles" localSheetId="1">'Rate Base'!$1:$8</definedName>
    <definedName name="_xlnm.Print_Titles" localSheetId="2">'Rate Base (RCN)'!$1:$8</definedName>
    <definedName name="_xlnm.Print_Titles" localSheetId="13">'RB-UNADJ-FERC BS'!$1:$8</definedName>
    <definedName name="_xlnm.Print_Titles" localSheetId="12">'RB-UNADJ-Plant'!$1:$9</definedName>
    <definedName name="_xlnm.Print_Titles" localSheetId="11">'RCN Data'!$1:$7</definedName>
    <definedName name="_xlnm.Print_Titles" localSheetId="4">'Rev Exp'!$F:$J,'Rev Exp'!$1:$8</definedName>
    <definedName name="_xlnm.Print_Titles" localSheetId="7">'REVEXP-UNADJ-Depreciation'!$1:$7</definedName>
    <definedName name="_xlnm.Print_Titles">#REF!</definedName>
    <definedName name="PrintD" localSheetId="32" xlm="1" shortcutKey="a">#REF!</definedName>
    <definedName name="PrintD" localSheetId="34" xlm="1" shortcutKey="a">#REF!</definedName>
    <definedName name="PrintD" localSheetId="35" xlm="1" shortcutKey="a">#REF!</definedName>
    <definedName name="PrintD" localSheetId="36" xlm="1" shortcutKey="a">#REF!</definedName>
    <definedName name="PrintD" localSheetId="37" xlm="1" shortcutKey="a">#REF!</definedName>
    <definedName name="PrintD" localSheetId="38" xlm="1" shortcutKey="a">#REF!</definedName>
    <definedName name="PrintD" localSheetId="39" xlm="1" shortcutKey="a">#REF!</definedName>
    <definedName name="PrintD" localSheetId="50" xlm="1" shortcutKey="a">#REF!</definedName>
    <definedName name="PrintD" localSheetId="51" xlm="1" shortcutKey="a">#REF!</definedName>
    <definedName name="PrintD" localSheetId="52" xlm="1" shortcutKey="a">#REF!</definedName>
    <definedName name="PrintD" localSheetId="9" xlm="1" shortcutKey="a">#REF!</definedName>
    <definedName name="PrintD" xlm="1" shortcutKey="a">#REF!</definedName>
    <definedName name="PrintE" localSheetId="32" xlm="1" shortcutKey="a">#REF!</definedName>
    <definedName name="PrintE" localSheetId="34" xlm="1" shortcutKey="a">#REF!</definedName>
    <definedName name="PrintE" localSheetId="35" xlm="1" shortcutKey="a">#REF!</definedName>
    <definedName name="PrintE" localSheetId="36" xlm="1" shortcutKey="a">#REF!</definedName>
    <definedName name="PrintE" localSheetId="37" xlm="1" shortcutKey="a">#REF!</definedName>
    <definedName name="PrintE" localSheetId="38" xlm="1" shortcutKey="a">#REF!</definedName>
    <definedName name="PrintE" localSheetId="39" xlm="1" shortcutKey="a">#REF!</definedName>
    <definedName name="PrintE" localSheetId="50" xlm="1" shortcutKey="a">#REF!</definedName>
    <definedName name="PrintE" localSheetId="51" xlm="1" shortcutKey="a">#REF!</definedName>
    <definedName name="PrintE" localSheetId="52" xlm="1" shortcutKey="a">#REF!</definedName>
    <definedName name="PrintE" localSheetId="9" xlm="1" shortcutKey="a">#REF!</definedName>
    <definedName name="PrintE" xlm="1" shortcutKey="a">#REF!</definedName>
    <definedName name="RESDEC14" localSheetId="28">#REF!</definedName>
    <definedName name="RESDEC14" localSheetId="9">#REF!</definedName>
    <definedName name="RESDEC14" localSheetId="29">#REF!</definedName>
    <definedName name="RESDEC14" localSheetId="30">#REF!</definedName>
    <definedName name="RESDEC14">#REF!</definedName>
    <definedName name="salaries" localSheetId="14" hidden="1">{"bal_sheet",#N/A,FALSE,"NBTIOUT";"cash",#N/A,FALSE,"NBTIOUT";"depreciation",#N/A,FALSE,"NBTIOUT";"income",#N/A,FALSE,"NBTIOUT";"ivr",#N/A,FALSE,"NBTIOUT";"nets",#N/A,FALSE,"NBTIOUT";"out_summary",#N/A,FALSE,"NBTIOUT"}</definedName>
    <definedName name="salaries" hidden="1">{"bal_sheet",#N/A,FALSE,"NBTIOUT";"cash",#N/A,FALSE,"NBTIOUT";"depreciation",#N/A,FALSE,"NBTIOUT";"income",#N/A,FALSE,"NBTIOUT";"ivr",#N/A,FALSE,"NBTIOUT";"nets",#N/A,FALSE,"NBTIOUT";"out_summary",#N/A,FALSE,"NBTIOUT"}</definedName>
    <definedName name="salariesa" localSheetId="14" hidden="1">{"bal_sheet",#N/A,FALSE,"NBTIOUT";"cash",#N/A,FALSE,"NBTIOUT";"depreciation",#N/A,FALSE,"NBTIOUT";"income",#N/A,FALSE,"NBTIOUT";"ivr",#N/A,FALSE,"NBTIOUT";"nets",#N/A,FALSE,"NBTIOUT";"out_summary",#N/A,FALSE,"NBTIOUT"}</definedName>
    <definedName name="salariesa" hidden="1">{"bal_sheet",#N/A,FALSE,"NBTIOUT";"cash",#N/A,FALSE,"NBTIOUT";"depreciation",#N/A,FALSE,"NBTIOUT";"income",#N/A,FALSE,"NBTIOUT";"ivr",#N/A,FALSE,"NBTIOUT";"nets",#N/A,FALSE,"NBTIOUT";"out_summary",#N/A,FALSE,"NBTIOUT"}</definedName>
    <definedName name="SAPFuncF4Help" localSheetId="10" hidden="1">Main.SAPF4Help()</definedName>
    <definedName name="SAPFuncF4Help" localSheetId="14" hidden="1">Main.SAPF4Help()</definedName>
    <definedName name="SAPFuncF4Help" localSheetId="12" hidden="1">Main.SAPF4Help()</definedName>
    <definedName name="SAPFuncF4Help" hidden="1">Main.SAPF4Help()</definedName>
    <definedName name="SAPFuncF4Help2" localSheetId="10" hidden="1">Main.SAPF4Help()</definedName>
    <definedName name="SAPFuncF4Help2" localSheetId="14" hidden="1">Main.SAPF4Help()</definedName>
    <definedName name="SAPFuncF4Help2" localSheetId="12" hidden="1">Main.SAPF4Help()</definedName>
    <definedName name="SAPFuncF4Help2" hidden="1">Main.SAPF4Help()</definedName>
    <definedName name="Sch" localSheetId="9">#REF!</definedName>
    <definedName name="Sch">#REF!</definedName>
    <definedName name="ss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ss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SumRevPresRate" localSheetId="28">#REF!</definedName>
    <definedName name="SumRevPresRate" localSheetId="9">#REF!</definedName>
    <definedName name="SumRevPresRate" localSheetId="29">#REF!</definedName>
    <definedName name="SumRevPresRate" localSheetId="30">#REF!</definedName>
    <definedName name="SumRevPresRate">#REF!</definedName>
    <definedName name="SumRevPropRate" localSheetId="28">#REF!</definedName>
    <definedName name="SumRevPropRate" localSheetId="9">#REF!</definedName>
    <definedName name="SumRevPropRate" localSheetId="29">#REF!</definedName>
    <definedName name="SumRevPropRate" localSheetId="30">#REF!</definedName>
    <definedName name="SumRevPropRate">#REF!</definedName>
    <definedName name="SumRevRate" localSheetId="28">#REF!</definedName>
    <definedName name="SumRevRate" localSheetId="9">#REF!</definedName>
    <definedName name="SumRevRate" localSheetId="29">#REF!</definedName>
    <definedName name="SumRevRate" localSheetId="30">#REF!</definedName>
    <definedName name="SumRevRate">#REF!</definedName>
    <definedName name="SumRevReq" localSheetId="28">#REF!</definedName>
    <definedName name="SumRevReq" localSheetId="9">#REF!</definedName>
    <definedName name="SumRevReq" localSheetId="29">#REF!</definedName>
    <definedName name="SumRevReq" localSheetId="30">#REF!</definedName>
    <definedName name="SumRevReq">#REF!</definedName>
    <definedName name="SUPP" localSheetId="28">#REF!</definedName>
    <definedName name="SUPP" localSheetId="29">#REF!</definedName>
    <definedName name="SUPP" localSheetId="30">#REF!</definedName>
    <definedName name="SUPP">#REF!</definedName>
    <definedName name="TableOfContents" localSheetId="28">#REF!</definedName>
    <definedName name="TableOfContents" localSheetId="9">#REF!</definedName>
    <definedName name="TableOfContents" localSheetId="29">#REF!</definedName>
    <definedName name="TableOfContents" localSheetId="30">#REF!</definedName>
    <definedName name="TableOfContents">#REF!</definedName>
    <definedName name="TextRefCopyRangeCount" hidden="1">13</definedName>
    <definedName name="why" localSheetId="9">#REF!</definedName>
    <definedName name="why">#REF!</definedName>
    <definedName name="wrn.Aging._.and._.Trend._.Analysis." localSheetId="1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ll." localSheetId="14" hidden="1">{"assumptions",#N/A,TRUE,"NETINPUT";"monthly",#N/A,TRUE,"NETINPUT";"detailed monthly",#N/A,TRUE,"NETINPUT"}</definedName>
    <definedName name="wrn.all." hidden="1">{"assumptions",#N/A,TRUE,"NETINPUT";"monthly",#N/A,TRUE,"NETINPUT";"detailed monthly",#N/A,TRUE,"NETINPUT"}</definedName>
    <definedName name="wrn.CAPPLAN." localSheetId="14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wrn.CAPPLAN." hidden="1">{#N/A,#N/A,TRUE,"GEN";#N/A,#N/A,TRUE,"43LINE";#N/A,#N/A,TRUE,"46LINE";#N/A,#N/A,TRUE,"TRANS";#N/A,#N/A,TRUE,"TERM.SUB";#N/A,#N/A,TRUE,"SYS.CONT.";#N/A,#N/A,TRUE,"DIS.SUB";#N/A,#N/A,TRUE,"DISTRIB.";#N/A,#N/A,TRUE,"BLDGS.";#N/A,#N/A,TRUE,"VEHIC.";#N/A,#N/A,TRUE,"T&amp;E";#N/A,#N/A,TRUE,"DSM";#N/A,#N/A,TRUE,"SUNDRY"}</definedName>
    <definedName name="wrn.statements." localSheetId="14" hidden="1">{"bal_sheet",#N/A,FALSE,"NBTIOUT";"cash",#N/A,FALSE,"NBTIOUT";"depreciation",#N/A,FALSE,"NBTIOUT";"income",#N/A,FALSE,"NBTIOUT";"ivr",#N/A,FALSE,"NBTIOUT";"nets",#N/A,FALSE,"NBTIOUT";"out_summary",#N/A,FALSE,"NBTIOUT"}</definedName>
    <definedName name="wrn.statements." hidden="1">{"bal_sheet",#N/A,FALSE,"NBTIOUT";"cash",#N/A,FALSE,"NBTIOUT";"depreciation",#N/A,FALSE,"NBTIOUT";"income",#N/A,FALSE,"NBTIOUT";"ivr",#N/A,FALSE,"NBTIOUT";"nets",#N/A,FALSE,"NBTIOUT";"out_summary",#N/A,FALSE,"NBTIOUT"}</definedName>
    <definedName name="wrn.UEG._.Operating._.Report." localSheetId="14" hidden="1">{#N/A,#N/A,FALSE,"UEG Cover";#N/A,#N/A,FALSE,"UEG Summary";#N/A,#N/A,FALSE,"UPS Cover";#N/A,#N/A,FALSE,"REGULATED_POWER";#N/A,#N/A,FALSE,"REG_VAR_YTD";#N/A,#N/A,FALSE,"UCG";#N/A,#N/A,FALSE,"UCG_VAR_YTD";#N/A,#N/A,FALSE,"O&amp;M_DETAIL";#N/A,#N/A,FALSE,"UPS HEADCOUNT";#N/A,#N/A,FALSE,"UPS CAPITAL";#N/A,#N/A,FALSE,"UPS FLEX PLAN";#N/A,#N/A,FALSE,"UER Cover";#N/A,#N/A,FALSE,"AEC EBIT-EVA Month";#N/A,#N/A,FALSE,"AEC EBIT-EVA Y-T-D";#N/A,#N/A,FALSE,"AEM-TG EBIT-EVA Month";#N/A,#N/A,FALSE,"APC-PT EBIT-EVA Month ";#N/A,#N/A,FALSE,"AEM-Term EBIT-EVA Month ";#N/A,#N/A,FALSE,"APC-Term EBIT-EVA Month";#N/A,#N/A,FALSE,"AEM O&amp;M Detail";#N/A,#N/A,FALSE,"AQP Cover";#N/A,#N/A,FALSE,"AQP EBIT-EVA Month";#N/A,#N/A,FALSE,"AQP EBIT-EVA Y-T-D";#N/A,#N/A,FALSE,"AQP O&amp;M Detail";#N/A,#N/A,FALSE,"Operating Stats-UER";#N/A,#N/A,FALSE,"Headcount";#N/A,#N/A,FALSE,"GSS Cover";#N/A,#N/A,FALSE,"GSS EBIT-EVA Month";#N/A,#N/A,FALSE,"GSS EBIT-EVA Variance";#N/A,#N/A,FALSE,"GSS O&amp;M Detail - P&amp;L";#N/A,#N/A,FALSE,"GSS O&amp;M Variance";#N/A,#N/A,FALSE,"UES Cover";#N/A,#N/A,FALSE,"UES Total";#N/A,#N/A,FALSE,"Monthly UES by SBU";#N/A,#N/A,FALSE,"YTD UES by SBU";#N/A,#N/A,FALSE,"IndustEBIT";#N/A,#N/A,FALSE,"Com'l EBIT ";#N/A,#N/A,FALSE,"UEM EBIT"}</definedName>
    <definedName name="wrn.UEG._.Operating._.Report." hidden="1">{#N/A,#N/A,FALSE,"UEG Cover";#N/A,#N/A,FALSE,"UEG Summary";#N/A,#N/A,FALSE,"UPS Cover";#N/A,#N/A,FALSE,"REGULATED_POWER";#N/A,#N/A,FALSE,"REG_VAR_YTD";#N/A,#N/A,FALSE,"UCG";#N/A,#N/A,FALSE,"UCG_VAR_YTD";#N/A,#N/A,FALSE,"O&amp;M_DETAIL";#N/A,#N/A,FALSE,"UPS HEADCOUNT";#N/A,#N/A,FALSE,"UPS CAPITAL";#N/A,#N/A,FALSE,"UPS FLEX PLAN";#N/A,#N/A,FALSE,"UER Cover";#N/A,#N/A,FALSE,"AEC EBIT-EVA Month";#N/A,#N/A,FALSE,"AEC EBIT-EVA Y-T-D";#N/A,#N/A,FALSE,"AEM-TG EBIT-EVA Month";#N/A,#N/A,FALSE,"APC-PT EBIT-EVA Month ";#N/A,#N/A,FALSE,"AEM-Term EBIT-EVA Month ";#N/A,#N/A,FALSE,"APC-Term EBIT-EVA Month";#N/A,#N/A,FALSE,"AEM O&amp;M Detail";#N/A,#N/A,FALSE,"AQP Cover";#N/A,#N/A,FALSE,"AQP EBIT-EVA Month";#N/A,#N/A,FALSE,"AQP EBIT-EVA Y-T-D";#N/A,#N/A,FALSE,"AQP O&amp;M Detail";#N/A,#N/A,FALSE,"Operating Stats-UER";#N/A,#N/A,FALSE,"Headcount";#N/A,#N/A,FALSE,"GSS Cover";#N/A,#N/A,FALSE,"GSS EBIT-EVA Month";#N/A,#N/A,FALSE,"GSS EBIT-EVA Variance";#N/A,#N/A,FALSE,"GSS O&amp;M Detail - P&amp;L";#N/A,#N/A,FALSE,"GSS O&amp;M Variance";#N/A,#N/A,FALSE,"UES Cover";#N/A,#N/A,FALSE,"UES Total";#N/A,#N/A,FALSE,"Monthly UES by SBU";#N/A,#N/A,FALSE,"YTD UES by SBU";#N/A,#N/A,FALSE,"IndustEBIT";#N/A,#N/A,FALSE,"Com'l EBIT ";#N/A,#N/A,FALSE,"UEM EBIT"}</definedName>
    <definedName name="Z_C62CFD0F_6183_4414_8B7C_D9236ED618C5_.wvu.PrintArea" localSheetId="21" hidden="1">'B1'!$A$1:$I$44</definedName>
    <definedName name="Z_C62CFD0F_6183_4414_8B7C_D9236ED618C5_.wvu.PrintArea" localSheetId="22" hidden="1">'B2 P1'!$A$1:$K$41</definedName>
    <definedName name="Z_C62CFD0F_6183_4414_8B7C_D9236ED618C5_.wvu.PrintArea" localSheetId="23" hidden="1">'B2 P2'!$A$1:$M$44</definedName>
    <definedName name="Z_C62CFD0F_6183_4414_8B7C_D9236ED618C5_.wvu.PrintArea" localSheetId="25" hidden="1">'B3 P2'!$C$1:$L$43</definedName>
    <definedName name="Z_C62CFD0F_6183_4414_8B7C_D9236ED618C5_.wvu.Rows" localSheetId="25" hidden="1">'B3 P2'!$57:$65</definedName>
    <definedName name="Z_E3CC3793_931A_456F_8579_6E70794072A9_.wvu.PrintArea" localSheetId="21" hidden="1">'B1'!$A$1:$I$44</definedName>
    <definedName name="Z_E3CC3793_931A_456F_8579_6E70794072A9_.wvu.PrintArea" localSheetId="22" hidden="1">'B2 P1'!$A$1:$K$41</definedName>
    <definedName name="Z_E3CC3793_931A_456F_8579_6E70794072A9_.wvu.PrintArea" localSheetId="23" hidden="1">'B2 P2'!$A$1:$M$44</definedName>
    <definedName name="Z_E3CC3793_931A_456F_8579_6E70794072A9_.wvu.PrintArea" localSheetId="25" hidden="1">'B3 P2'!$C$1:$L$43</definedName>
    <definedName name="Z_E3CC3793_931A_456F_8579_6E70794072A9_.wvu.Rows" localSheetId="25" hidden="1">'B3 P2'!$57:$65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45" l="1"/>
  <c r="P4" i="46"/>
  <c r="P4" i="59"/>
  <c r="A33" i="73" l="1"/>
  <c r="Q11" i="87"/>
  <c r="Q14" i="87" s="1"/>
  <c r="Q12" i="87"/>
  <c r="Q13" i="87"/>
  <c r="Q17" i="87"/>
  <c r="Q21" i="87" s="1"/>
  <c r="Q18" i="87"/>
  <c r="Q19" i="87"/>
  <c r="Q20" i="87"/>
  <c r="Q8" i="87"/>
  <c r="Q23" i="87" l="1"/>
  <c r="T6" i="13"/>
  <c r="Q31" i="87" s="1"/>
  <c r="Q32" i="87" s="1"/>
  <c r="U4" i="13"/>
  <c r="T4" i="13"/>
  <c r="X17" i="87" l="1"/>
  <c r="X20" i="87"/>
  <c r="X19" i="87"/>
  <c r="X18" i="87"/>
  <c r="X13" i="87"/>
  <c r="X12" i="87"/>
  <c r="X11" i="87"/>
  <c r="X14" i="87" s="1"/>
  <c r="X8" i="87"/>
  <c r="P26" i="59"/>
  <c r="X21" i="87" l="1"/>
  <c r="X23" i="87" s="1"/>
  <c r="AA6" i="13"/>
  <c r="X31" i="87" s="1"/>
  <c r="P20" i="87"/>
  <c r="P19" i="87"/>
  <c r="P18" i="87"/>
  <c r="P17" i="87"/>
  <c r="P13" i="87"/>
  <c r="P12" i="87"/>
  <c r="P11" i="87"/>
  <c r="P8" i="87"/>
  <c r="S6" i="13"/>
  <c r="P31" i="87" s="1"/>
  <c r="P14" i="87" l="1"/>
  <c r="X32" i="87"/>
  <c r="P21" i="87"/>
  <c r="P23" i="87" s="1"/>
  <c r="P32" i="87" s="1"/>
  <c r="AJ20" i="87" l="1"/>
  <c r="AJ19" i="87"/>
  <c r="AJ18" i="87"/>
  <c r="AJ17" i="87"/>
  <c r="AJ13" i="87"/>
  <c r="AJ12" i="87"/>
  <c r="AJ11" i="87"/>
  <c r="AJ8" i="87"/>
  <c r="K20" i="87"/>
  <c r="K19" i="87"/>
  <c r="K18" i="87"/>
  <c r="K17" i="87"/>
  <c r="K13" i="87"/>
  <c r="K12" i="87"/>
  <c r="K11" i="87"/>
  <c r="K8" i="87"/>
  <c r="AJ21" i="87" l="1"/>
  <c r="AJ14" i="87"/>
  <c r="AJ23" i="87" s="1"/>
  <c r="K21" i="87"/>
  <c r="K14" i="87"/>
  <c r="AM6" i="13"/>
  <c r="AJ31" i="87" s="1"/>
  <c r="K23" i="87" l="1"/>
  <c r="AJ32" i="87"/>
  <c r="N6" i="13"/>
  <c r="K31" i="87" s="1"/>
  <c r="K32" i="87" l="1"/>
  <c r="I119" i="13"/>
  <c r="J119" i="13" s="1"/>
  <c r="O20" i="87" l="1"/>
  <c r="O19" i="87"/>
  <c r="O18" i="87"/>
  <c r="O17" i="87"/>
  <c r="O13" i="87"/>
  <c r="O12" i="87"/>
  <c r="O11" i="87"/>
  <c r="O8" i="87"/>
  <c r="O21" i="87" l="1"/>
  <c r="O14" i="87"/>
  <c r="R6" i="13"/>
  <c r="O31" i="87" s="1"/>
  <c r="O23" i="87" l="1"/>
  <c r="O32" i="87" s="1"/>
  <c r="K19" i="73"/>
  <c r="D28" i="104" l="1"/>
  <c r="C28" i="104"/>
  <c r="B28" i="104"/>
  <c r="D23" i="104"/>
  <c r="C23" i="104"/>
  <c r="B23" i="104"/>
  <c r="D16" i="104"/>
  <c r="D30" i="104" s="1"/>
  <c r="C16" i="104"/>
  <c r="C30" i="104" s="1"/>
  <c r="B16" i="104"/>
  <c r="B30" i="104" l="1"/>
  <c r="I17" i="74" l="1"/>
  <c r="I15" i="74"/>
  <c r="I13" i="74"/>
  <c r="K88" i="72"/>
  <c r="K80" i="72" s="1"/>
  <c r="E88" i="72"/>
  <c r="E80" i="72" s="1"/>
  <c r="I24" i="13" l="1"/>
  <c r="J24" i="13" s="1"/>
  <c r="L20" i="87" l="1"/>
  <c r="L19" i="87"/>
  <c r="L18" i="87"/>
  <c r="L17" i="87"/>
  <c r="L13" i="87"/>
  <c r="L12" i="87"/>
  <c r="L11" i="87"/>
  <c r="L8" i="87"/>
  <c r="H29" i="116"/>
  <c r="H28" i="116"/>
  <c r="H27" i="116"/>
  <c r="H10" i="116"/>
  <c r="H30" i="116" l="1"/>
  <c r="L21" i="87"/>
  <c r="L14" i="87"/>
  <c r="G13" i="116"/>
  <c r="C10" i="116"/>
  <c r="L23" i="87" l="1"/>
  <c r="H13" i="116"/>
  <c r="J9" i="116"/>
  <c r="I10" i="116"/>
  <c r="L10" i="116" s="1"/>
  <c r="O6" i="13"/>
  <c r="L31" i="87" s="1"/>
  <c r="L32" i="87" l="1"/>
  <c r="E57" i="90"/>
  <c r="I15" i="90" l="1"/>
  <c r="I23" i="90" s="1"/>
  <c r="I14" i="91"/>
  <c r="E14" i="91"/>
  <c r="K16" i="73" s="1"/>
  <c r="M16" i="73" s="1"/>
  <c r="E25" i="92"/>
  <c r="A19" i="93"/>
  <c r="A16" i="93"/>
  <c r="E58" i="69"/>
  <c r="E33" i="69"/>
  <c r="J13" i="116" l="1"/>
  <c r="K13" i="116" l="1"/>
  <c r="L19" i="116"/>
  <c r="E12" i="116"/>
  <c r="E13" i="116" s="1"/>
  <c r="F9" i="116"/>
  <c r="D11" i="116"/>
  <c r="D13" i="116" s="1"/>
  <c r="B9" i="116"/>
  <c r="B11" i="116"/>
  <c r="B12" i="116"/>
  <c r="A12" i="116"/>
  <c r="A11" i="116"/>
  <c r="A9" i="116"/>
  <c r="A3" i="116"/>
  <c r="F13" i="116" l="1"/>
  <c r="I30" i="13" l="1"/>
  <c r="I18" i="13"/>
  <c r="I16" i="13"/>
  <c r="I12" i="13"/>
  <c r="I11" i="13"/>
  <c r="I10" i="13"/>
  <c r="F134" i="59"/>
  <c r="F133" i="59"/>
  <c r="F133" i="46" s="1"/>
  <c r="F132" i="59"/>
  <c r="F132" i="46" s="1"/>
  <c r="F74" i="66"/>
  <c r="F67" i="66"/>
  <c r="F29" i="66"/>
  <c r="F63" i="66"/>
  <c r="F14" i="66"/>
  <c r="F62" i="66"/>
  <c r="F66" i="66"/>
  <c r="AG6" i="13"/>
  <c r="AD31" i="87" s="1"/>
  <c r="AF6" i="13"/>
  <c r="AC31" i="87" s="1"/>
  <c r="AE6" i="13"/>
  <c r="AB31" i="87" s="1"/>
  <c r="AD6" i="13"/>
  <c r="AA31" i="87" s="1"/>
  <c r="AC6" i="13"/>
  <c r="Z31" i="87" s="1"/>
  <c r="AL17" i="87"/>
  <c r="AK17" i="87"/>
  <c r="AH17" i="87"/>
  <c r="AF17" i="87"/>
  <c r="AE17" i="87"/>
  <c r="AD17" i="87"/>
  <c r="AC17" i="87"/>
  <c r="AB17" i="87"/>
  <c r="AA17" i="87"/>
  <c r="Z17" i="87"/>
  <c r="Y17" i="87"/>
  <c r="W17" i="87"/>
  <c r="V17" i="87"/>
  <c r="U17" i="87"/>
  <c r="T17" i="87"/>
  <c r="S17" i="87"/>
  <c r="R17" i="87"/>
  <c r="N17" i="87"/>
  <c r="M17" i="87"/>
  <c r="J17" i="87"/>
  <c r="I17" i="87"/>
  <c r="H17" i="87"/>
  <c r="J19" i="86"/>
  <c r="N16" i="78"/>
  <c r="G17" i="77" s="1"/>
  <c r="I17" i="77" s="1"/>
  <c r="E17" i="76" s="1"/>
  <c r="E8" i="78"/>
  <c r="F8" i="78"/>
  <c r="G8" i="78"/>
  <c r="H8" i="78"/>
  <c r="I8" i="78"/>
  <c r="J8" i="78"/>
  <c r="K8" i="78"/>
  <c r="L8" i="78"/>
  <c r="M8" i="78"/>
  <c r="E10" i="78"/>
  <c r="F10" i="78"/>
  <c r="G10" i="78"/>
  <c r="H10" i="78"/>
  <c r="I10" i="78"/>
  <c r="I14" i="78" s="1"/>
  <c r="I18" i="78" s="1"/>
  <c r="J10" i="78"/>
  <c r="K10" i="78"/>
  <c r="L10" i="78"/>
  <c r="M10" i="78"/>
  <c r="E12" i="78"/>
  <c r="F12" i="78"/>
  <c r="G12" i="78"/>
  <c r="H12" i="78"/>
  <c r="I12" i="78"/>
  <c r="J12" i="78"/>
  <c r="K12" i="78"/>
  <c r="L12" i="78"/>
  <c r="M12" i="78"/>
  <c r="E20" i="78"/>
  <c r="F20" i="78"/>
  <c r="G20" i="78"/>
  <c r="H20" i="78"/>
  <c r="I20" i="78"/>
  <c r="J20" i="78"/>
  <c r="K20" i="78"/>
  <c r="L20" i="78"/>
  <c r="M20" i="78"/>
  <c r="E22" i="78"/>
  <c r="F22" i="78"/>
  <c r="G22" i="78"/>
  <c r="H22" i="78"/>
  <c r="I22" i="78"/>
  <c r="J22" i="78"/>
  <c r="K22" i="78"/>
  <c r="L22" i="78"/>
  <c r="M22" i="78"/>
  <c r="E26" i="78"/>
  <c r="F26" i="78"/>
  <c r="G26" i="78"/>
  <c r="H26" i="78"/>
  <c r="I26" i="78"/>
  <c r="J26" i="78"/>
  <c r="K26" i="78"/>
  <c r="L26" i="78"/>
  <c r="M26" i="78"/>
  <c r="E29" i="78"/>
  <c r="F29" i="78"/>
  <c r="G29" i="78"/>
  <c r="H29" i="78"/>
  <c r="I29" i="78"/>
  <c r="J29" i="78"/>
  <c r="K29" i="78"/>
  <c r="L29" i="78"/>
  <c r="E31" i="78"/>
  <c r="F31" i="78"/>
  <c r="G31" i="78"/>
  <c r="H31" i="78"/>
  <c r="I31" i="78"/>
  <c r="J31" i="78"/>
  <c r="K31" i="78"/>
  <c r="L31" i="78"/>
  <c r="M31" i="78"/>
  <c r="E33" i="78"/>
  <c r="F33" i="78"/>
  <c r="G33" i="78"/>
  <c r="H33" i="78"/>
  <c r="I33" i="78"/>
  <c r="J33" i="78"/>
  <c r="K33" i="78"/>
  <c r="L33" i="78"/>
  <c r="M33" i="78"/>
  <c r="E35" i="78"/>
  <c r="F35" i="78"/>
  <c r="G35" i="78"/>
  <c r="H35" i="78"/>
  <c r="I35" i="78"/>
  <c r="J35" i="78"/>
  <c r="K35" i="78"/>
  <c r="L35" i="78"/>
  <c r="M35" i="78"/>
  <c r="H7" i="45"/>
  <c r="I7" i="45"/>
  <c r="J7" i="45"/>
  <c r="K7" i="45"/>
  <c r="L7" i="45"/>
  <c r="M7" i="45"/>
  <c r="N7" i="45"/>
  <c r="O7" i="45"/>
  <c r="P7" i="45"/>
  <c r="R141" i="46"/>
  <c r="Q141" i="46"/>
  <c r="P141" i="46"/>
  <c r="O141" i="46"/>
  <c r="N141" i="46"/>
  <c r="M141" i="46"/>
  <c r="L141" i="46"/>
  <c r="K141" i="46"/>
  <c r="J141" i="46"/>
  <c r="R140" i="46"/>
  <c r="P140" i="45" s="1"/>
  <c r="Q140" i="46"/>
  <c r="O140" i="45" s="1"/>
  <c r="P140" i="46"/>
  <c r="N140" i="45" s="1"/>
  <c r="O140" i="46"/>
  <c r="M140" i="45" s="1"/>
  <c r="N140" i="46"/>
  <c r="L140" i="45" s="1"/>
  <c r="M140" i="46"/>
  <c r="K140" i="45" s="1"/>
  <c r="L140" i="46"/>
  <c r="J140" i="45" s="1"/>
  <c r="K140" i="46"/>
  <c r="I140" i="45" s="1"/>
  <c r="J140" i="46"/>
  <c r="H140" i="45" s="1"/>
  <c r="R139" i="46"/>
  <c r="P139" i="45" s="1"/>
  <c r="Q139" i="46"/>
  <c r="O139" i="45" s="1"/>
  <c r="P139" i="46"/>
  <c r="N139" i="45" s="1"/>
  <c r="O139" i="46"/>
  <c r="M139" i="45" s="1"/>
  <c r="N139" i="46"/>
  <c r="L139" i="45" s="1"/>
  <c r="M139" i="46"/>
  <c r="K139" i="45" s="1"/>
  <c r="L139" i="46"/>
  <c r="K139" i="46"/>
  <c r="I139" i="45" s="1"/>
  <c r="J139" i="46"/>
  <c r="H139" i="45" s="1"/>
  <c r="R138" i="46"/>
  <c r="Q138" i="46"/>
  <c r="O138" i="45" s="1"/>
  <c r="P138" i="46"/>
  <c r="N138" i="45" s="1"/>
  <c r="O138" i="46"/>
  <c r="M138" i="45" s="1"/>
  <c r="N138" i="46"/>
  <c r="L138" i="45" s="1"/>
  <c r="M138" i="46"/>
  <c r="K138" i="45" s="1"/>
  <c r="L138" i="46"/>
  <c r="J138" i="45" s="1"/>
  <c r="K138" i="46"/>
  <c r="J138" i="46"/>
  <c r="R135" i="46"/>
  <c r="Q135" i="46"/>
  <c r="P135" i="46"/>
  <c r="O135" i="46"/>
  <c r="N135" i="46"/>
  <c r="M135" i="46"/>
  <c r="L135" i="46"/>
  <c r="K135" i="46"/>
  <c r="J135" i="46"/>
  <c r="R134" i="46"/>
  <c r="Q134" i="46"/>
  <c r="O134" i="45" s="1"/>
  <c r="P134" i="46"/>
  <c r="O134" i="46"/>
  <c r="N134" i="46"/>
  <c r="L134" i="45" s="1"/>
  <c r="M134" i="46"/>
  <c r="K134" i="45" s="1"/>
  <c r="L134" i="46"/>
  <c r="J134" i="45" s="1"/>
  <c r="K134" i="46"/>
  <c r="J134" i="46"/>
  <c r="E35" i="81" s="1"/>
  <c r="R133" i="46"/>
  <c r="P133" i="45" s="1"/>
  <c r="Q133" i="46"/>
  <c r="P133" i="46"/>
  <c r="N133" i="45" s="1"/>
  <c r="O133" i="46"/>
  <c r="N133" i="46"/>
  <c r="M133" i="46"/>
  <c r="H33" i="81" s="1"/>
  <c r="L133" i="46"/>
  <c r="G33" i="81" s="1"/>
  <c r="K133" i="46"/>
  <c r="J133" i="46"/>
  <c r="R132" i="46"/>
  <c r="P132" i="45" s="1"/>
  <c r="Q132" i="46"/>
  <c r="O132" i="45" s="1"/>
  <c r="P132" i="46"/>
  <c r="N132" i="45" s="1"/>
  <c r="O132" i="46"/>
  <c r="M132" i="45" s="1"/>
  <c r="N132" i="46"/>
  <c r="L132" i="45" s="1"/>
  <c r="M132" i="46"/>
  <c r="K132" i="45" s="1"/>
  <c r="L132" i="46"/>
  <c r="J132" i="45" s="1"/>
  <c r="K132" i="46"/>
  <c r="I132" i="45" s="1"/>
  <c r="J132" i="46"/>
  <c r="M31" i="81"/>
  <c r="L31" i="81"/>
  <c r="J31" i="81"/>
  <c r="I31" i="81"/>
  <c r="F31" i="81"/>
  <c r="E31" i="81"/>
  <c r="R129" i="46"/>
  <c r="Q129" i="46"/>
  <c r="P129" i="46"/>
  <c r="O129" i="46"/>
  <c r="N129" i="46"/>
  <c r="M129" i="46"/>
  <c r="L129" i="46"/>
  <c r="K129" i="46"/>
  <c r="J129" i="46"/>
  <c r="R128" i="46"/>
  <c r="Q128" i="46"/>
  <c r="P128" i="46"/>
  <c r="O128" i="46"/>
  <c r="N128" i="46"/>
  <c r="M128" i="46"/>
  <c r="L128" i="46"/>
  <c r="K128" i="46"/>
  <c r="J128" i="46"/>
  <c r="R127" i="46"/>
  <c r="Q127" i="46"/>
  <c r="P127" i="46"/>
  <c r="O127" i="46"/>
  <c r="N127" i="46"/>
  <c r="M127" i="46"/>
  <c r="L127" i="46"/>
  <c r="K127" i="46"/>
  <c r="J127" i="46"/>
  <c r="R126" i="46"/>
  <c r="P126" i="45" s="1"/>
  <c r="Q126" i="46"/>
  <c r="L22" i="81" s="1"/>
  <c r="P126" i="46"/>
  <c r="N126" i="45" s="1"/>
  <c r="O126" i="46"/>
  <c r="J22" i="81" s="1"/>
  <c r="N126" i="46"/>
  <c r="I22" i="81" s="1"/>
  <c r="M126" i="46"/>
  <c r="H22" i="81" s="1"/>
  <c r="L126" i="46"/>
  <c r="G22" i="81" s="1"/>
  <c r="K126" i="46"/>
  <c r="J126" i="46"/>
  <c r="R125" i="46"/>
  <c r="Q125" i="46"/>
  <c r="P125" i="46"/>
  <c r="K20" i="81" s="1"/>
  <c r="O125" i="46"/>
  <c r="J20" i="81" s="1"/>
  <c r="N125" i="46"/>
  <c r="L125" i="45" s="1"/>
  <c r="M125" i="46"/>
  <c r="L125" i="46"/>
  <c r="K125" i="46"/>
  <c r="I125" i="45" s="1"/>
  <c r="J125" i="46"/>
  <c r="H125" i="45" s="1"/>
  <c r="R122" i="46"/>
  <c r="Q122" i="46"/>
  <c r="P122" i="46"/>
  <c r="O122" i="46"/>
  <c r="N122" i="46"/>
  <c r="M122" i="46"/>
  <c r="L122" i="46"/>
  <c r="K122" i="46"/>
  <c r="J122" i="46"/>
  <c r="R121" i="46"/>
  <c r="P121" i="45" s="1"/>
  <c r="Q121" i="46"/>
  <c r="O121" i="45" s="1"/>
  <c r="P121" i="46"/>
  <c r="N121" i="45" s="1"/>
  <c r="O121" i="46"/>
  <c r="M121" i="45" s="1"/>
  <c r="N121" i="46"/>
  <c r="L121" i="45" s="1"/>
  <c r="M121" i="46"/>
  <c r="K121" i="45" s="1"/>
  <c r="L121" i="46"/>
  <c r="J121" i="45" s="1"/>
  <c r="K121" i="46"/>
  <c r="I121" i="45" s="1"/>
  <c r="J121" i="46"/>
  <c r="H121" i="45" s="1"/>
  <c r="R120" i="46"/>
  <c r="P120" i="45" s="1"/>
  <c r="Q120" i="46"/>
  <c r="P120" i="46"/>
  <c r="O120" i="46"/>
  <c r="M120" i="45" s="1"/>
  <c r="N120" i="46"/>
  <c r="M120" i="46"/>
  <c r="K120" i="45" s="1"/>
  <c r="L120" i="46"/>
  <c r="K120" i="46"/>
  <c r="I120" i="45" s="1"/>
  <c r="J120" i="46"/>
  <c r="H120" i="45" s="1"/>
  <c r="Q119" i="46"/>
  <c r="O119" i="45" s="1"/>
  <c r="P119" i="46"/>
  <c r="N119" i="45" s="1"/>
  <c r="O119" i="46"/>
  <c r="N119" i="46"/>
  <c r="L119" i="45" s="1"/>
  <c r="M119" i="46"/>
  <c r="K119" i="45" s="1"/>
  <c r="L119" i="46"/>
  <c r="J119" i="45" s="1"/>
  <c r="K119" i="46"/>
  <c r="I119" i="45" s="1"/>
  <c r="J119" i="46"/>
  <c r="R116" i="46"/>
  <c r="Q116" i="46"/>
  <c r="P116" i="46"/>
  <c r="O116" i="46"/>
  <c r="N116" i="46"/>
  <c r="M116" i="46"/>
  <c r="L116" i="46"/>
  <c r="K116" i="46"/>
  <c r="J116" i="46"/>
  <c r="R115" i="46"/>
  <c r="Q115" i="46"/>
  <c r="P115" i="46"/>
  <c r="O115" i="46"/>
  <c r="N115" i="46"/>
  <c r="M115" i="46"/>
  <c r="L115" i="46"/>
  <c r="K115" i="46"/>
  <c r="J115" i="46"/>
  <c r="R114" i="46"/>
  <c r="Q114" i="46"/>
  <c r="P114" i="46"/>
  <c r="O114" i="46"/>
  <c r="N114" i="46"/>
  <c r="M114" i="46"/>
  <c r="L114" i="46"/>
  <c r="K114" i="46"/>
  <c r="J114" i="46"/>
  <c r="R113" i="46"/>
  <c r="Q113" i="46"/>
  <c r="P113" i="46"/>
  <c r="O113" i="46"/>
  <c r="N113" i="46"/>
  <c r="M113" i="46"/>
  <c r="L113" i="46"/>
  <c r="K113" i="46"/>
  <c r="J113" i="46"/>
  <c r="R112" i="46"/>
  <c r="Q112" i="46"/>
  <c r="P112" i="46"/>
  <c r="O112" i="46"/>
  <c r="N112" i="46"/>
  <c r="M112" i="46"/>
  <c r="L112" i="46"/>
  <c r="K112" i="46"/>
  <c r="J112" i="46"/>
  <c r="R109" i="46"/>
  <c r="Q109" i="46"/>
  <c r="P109" i="46"/>
  <c r="O109" i="46"/>
  <c r="N109" i="46"/>
  <c r="M109" i="46"/>
  <c r="L109" i="46"/>
  <c r="K109" i="46"/>
  <c r="J109" i="46"/>
  <c r="R108" i="46"/>
  <c r="Q108" i="46"/>
  <c r="P108" i="46"/>
  <c r="O108" i="46"/>
  <c r="N108" i="46"/>
  <c r="M108" i="46"/>
  <c r="L108" i="46"/>
  <c r="K108" i="46"/>
  <c r="J108" i="46"/>
  <c r="R107" i="46"/>
  <c r="Q107" i="46"/>
  <c r="P107" i="46"/>
  <c r="O107" i="46"/>
  <c r="N107" i="46"/>
  <c r="M107" i="46"/>
  <c r="L107" i="46"/>
  <c r="K107" i="46"/>
  <c r="J107" i="46"/>
  <c r="R106" i="46"/>
  <c r="Q106" i="46"/>
  <c r="P106" i="46"/>
  <c r="O106" i="46"/>
  <c r="N106" i="46"/>
  <c r="M106" i="46"/>
  <c r="L106" i="46"/>
  <c r="K106" i="46"/>
  <c r="J106" i="46"/>
  <c r="R105" i="46"/>
  <c r="Q105" i="46"/>
  <c r="P105" i="46"/>
  <c r="O105" i="46"/>
  <c r="N105" i="46"/>
  <c r="M105" i="46"/>
  <c r="L105" i="46"/>
  <c r="K105" i="46"/>
  <c r="J105" i="46"/>
  <c r="R102" i="46"/>
  <c r="Q102" i="46"/>
  <c r="P102" i="46"/>
  <c r="O102" i="46"/>
  <c r="N102" i="46"/>
  <c r="M102" i="46"/>
  <c r="L102" i="46"/>
  <c r="K102" i="46"/>
  <c r="J102" i="46"/>
  <c r="R101" i="46"/>
  <c r="Q101" i="46"/>
  <c r="P101" i="46"/>
  <c r="O101" i="46"/>
  <c r="N101" i="46"/>
  <c r="M101" i="46"/>
  <c r="L101" i="46"/>
  <c r="K101" i="46"/>
  <c r="J101" i="46"/>
  <c r="R100" i="46"/>
  <c r="P100" i="45" s="1"/>
  <c r="Q100" i="46"/>
  <c r="O100" i="45" s="1"/>
  <c r="P100" i="46"/>
  <c r="N100" i="45" s="1"/>
  <c r="O100" i="46"/>
  <c r="M100" i="45" s="1"/>
  <c r="N100" i="46"/>
  <c r="L100" i="45" s="1"/>
  <c r="M100" i="46"/>
  <c r="K100" i="45" s="1"/>
  <c r="L100" i="46"/>
  <c r="J100" i="45" s="1"/>
  <c r="K100" i="46"/>
  <c r="I100" i="45" s="1"/>
  <c r="J100" i="46"/>
  <c r="H100" i="45" s="1"/>
  <c r="R99" i="46"/>
  <c r="P99" i="45" s="1"/>
  <c r="Q99" i="46"/>
  <c r="O99" i="45" s="1"/>
  <c r="P99" i="46"/>
  <c r="N99" i="45" s="1"/>
  <c r="O99" i="46"/>
  <c r="M99" i="45" s="1"/>
  <c r="N99" i="46"/>
  <c r="L99" i="45" s="1"/>
  <c r="M99" i="46"/>
  <c r="K99" i="45" s="1"/>
  <c r="L99" i="46"/>
  <c r="J99" i="45" s="1"/>
  <c r="K99" i="46"/>
  <c r="I99" i="45" s="1"/>
  <c r="J99" i="46"/>
  <c r="H99" i="45" s="1"/>
  <c r="R98" i="46"/>
  <c r="P98" i="45" s="1"/>
  <c r="Q98" i="46"/>
  <c r="O98" i="45" s="1"/>
  <c r="P98" i="46"/>
  <c r="O98" i="46"/>
  <c r="M98" i="45" s="1"/>
  <c r="N98" i="46"/>
  <c r="L98" i="45" s="1"/>
  <c r="M98" i="46"/>
  <c r="K98" i="45" s="1"/>
  <c r="L98" i="46"/>
  <c r="J98" i="45" s="1"/>
  <c r="K98" i="46"/>
  <c r="I98" i="45" s="1"/>
  <c r="J98" i="46"/>
  <c r="H98" i="45" s="1"/>
  <c r="R97" i="46"/>
  <c r="P97" i="45" s="1"/>
  <c r="Q97" i="46"/>
  <c r="O97" i="45" s="1"/>
  <c r="P97" i="46"/>
  <c r="N97" i="45" s="1"/>
  <c r="O97" i="46"/>
  <c r="M97" i="45" s="1"/>
  <c r="N97" i="46"/>
  <c r="L97" i="45" s="1"/>
  <c r="M97" i="46"/>
  <c r="K97" i="45" s="1"/>
  <c r="L97" i="46"/>
  <c r="J97" i="45" s="1"/>
  <c r="K97" i="46"/>
  <c r="I97" i="45" s="1"/>
  <c r="J97" i="46"/>
  <c r="H97" i="45" s="1"/>
  <c r="R96" i="46"/>
  <c r="P96" i="45" s="1"/>
  <c r="Q96" i="46"/>
  <c r="O96" i="45" s="1"/>
  <c r="P96" i="46"/>
  <c r="N96" i="45" s="1"/>
  <c r="O96" i="46"/>
  <c r="M96" i="45" s="1"/>
  <c r="N96" i="46"/>
  <c r="L96" i="45" s="1"/>
  <c r="M96" i="46"/>
  <c r="K96" i="45" s="1"/>
  <c r="L96" i="46"/>
  <c r="J96" i="45" s="1"/>
  <c r="K96" i="46"/>
  <c r="I96" i="45" s="1"/>
  <c r="J96" i="46"/>
  <c r="H96" i="45" s="1"/>
  <c r="R95" i="46"/>
  <c r="P95" i="45" s="1"/>
  <c r="Q95" i="46"/>
  <c r="O95" i="45" s="1"/>
  <c r="P95" i="46"/>
  <c r="N95" i="45" s="1"/>
  <c r="O95" i="46"/>
  <c r="M95" i="45" s="1"/>
  <c r="N95" i="46"/>
  <c r="L95" i="45" s="1"/>
  <c r="M95" i="46"/>
  <c r="K95" i="45" s="1"/>
  <c r="L95" i="46"/>
  <c r="J95" i="45" s="1"/>
  <c r="K95" i="46"/>
  <c r="J95" i="46"/>
  <c r="H95" i="45" s="1"/>
  <c r="R94" i="46"/>
  <c r="P94" i="45" s="1"/>
  <c r="Q94" i="46"/>
  <c r="O94" i="45" s="1"/>
  <c r="P94" i="46"/>
  <c r="N94" i="45" s="1"/>
  <c r="O94" i="46"/>
  <c r="M94" i="45" s="1"/>
  <c r="N94" i="46"/>
  <c r="L94" i="45" s="1"/>
  <c r="M94" i="46"/>
  <c r="K94" i="45" s="1"/>
  <c r="L94" i="46"/>
  <c r="J94" i="45" s="1"/>
  <c r="K94" i="46"/>
  <c r="I94" i="45" s="1"/>
  <c r="J94" i="46"/>
  <c r="H94" i="45" s="1"/>
  <c r="R93" i="46"/>
  <c r="P93" i="45" s="1"/>
  <c r="Q93" i="46"/>
  <c r="O93" i="45" s="1"/>
  <c r="P93" i="46"/>
  <c r="N93" i="45" s="1"/>
  <c r="O93" i="46"/>
  <c r="M93" i="45" s="1"/>
  <c r="N93" i="46"/>
  <c r="L93" i="45" s="1"/>
  <c r="M93" i="46"/>
  <c r="K93" i="45" s="1"/>
  <c r="L93" i="46"/>
  <c r="J93" i="45" s="1"/>
  <c r="K93" i="46"/>
  <c r="I93" i="45" s="1"/>
  <c r="J93" i="46"/>
  <c r="H93" i="45" s="1"/>
  <c r="R92" i="46"/>
  <c r="P92" i="45" s="1"/>
  <c r="Q92" i="46"/>
  <c r="O92" i="45" s="1"/>
  <c r="P92" i="46"/>
  <c r="N92" i="45" s="1"/>
  <c r="O92" i="46"/>
  <c r="M92" i="45" s="1"/>
  <c r="N92" i="46"/>
  <c r="L92" i="45" s="1"/>
  <c r="M92" i="46"/>
  <c r="K92" i="45" s="1"/>
  <c r="L92" i="46"/>
  <c r="J92" i="45" s="1"/>
  <c r="K92" i="46"/>
  <c r="I92" i="45" s="1"/>
  <c r="J92" i="46"/>
  <c r="H92" i="45" s="1"/>
  <c r="R91" i="46"/>
  <c r="P91" i="45" s="1"/>
  <c r="Q91" i="46"/>
  <c r="O91" i="45" s="1"/>
  <c r="P91" i="46"/>
  <c r="N91" i="45" s="1"/>
  <c r="O91" i="46"/>
  <c r="M91" i="45" s="1"/>
  <c r="N91" i="46"/>
  <c r="L91" i="45" s="1"/>
  <c r="M91" i="46"/>
  <c r="K91" i="45" s="1"/>
  <c r="L91" i="46"/>
  <c r="J91" i="45" s="1"/>
  <c r="K91" i="46"/>
  <c r="J91" i="46"/>
  <c r="H91" i="45" s="1"/>
  <c r="R88" i="46"/>
  <c r="Q88" i="46"/>
  <c r="P88" i="46"/>
  <c r="O88" i="46"/>
  <c r="N88" i="46"/>
  <c r="M88" i="46"/>
  <c r="L88" i="46"/>
  <c r="K88" i="46"/>
  <c r="J88" i="46"/>
  <c r="R87" i="46"/>
  <c r="Q87" i="46"/>
  <c r="P87" i="46"/>
  <c r="O87" i="46"/>
  <c r="N87" i="46"/>
  <c r="M87" i="46"/>
  <c r="L87" i="46"/>
  <c r="K87" i="46"/>
  <c r="J87" i="46"/>
  <c r="R86" i="46"/>
  <c r="P86" i="45" s="1"/>
  <c r="Q86" i="46"/>
  <c r="O86" i="45" s="1"/>
  <c r="P86" i="46"/>
  <c r="N86" i="45" s="1"/>
  <c r="O86" i="46"/>
  <c r="M86" i="45" s="1"/>
  <c r="N86" i="46"/>
  <c r="L86" i="45" s="1"/>
  <c r="M86" i="46"/>
  <c r="K86" i="45" s="1"/>
  <c r="L86" i="46"/>
  <c r="J86" i="45" s="1"/>
  <c r="K86" i="46"/>
  <c r="I86" i="45" s="1"/>
  <c r="J86" i="46"/>
  <c r="H86" i="45" s="1"/>
  <c r="R85" i="46"/>
  <c r="P85" i="45" s="1"/>
  <c r="Q85" i="46"/>
  <c r="O85" i="45" s="1"/>
  <c r="P85" i="46"/>
  <c r="N85" i="45" s="1"/>
  <c r="O85" i="46"/>
  <c r="M85" i="45" s="1"/>
  <c r="N85" i="46"/>
  <c r="L85" i="45" s="1"/>
  <c r="M85" i="46"/>
  <c r="K85" i="45" s="1"/>
  <c r="L85" i="46"/>
  <c r="J85" i="45" s="1"/>
  <c r="K85" i="46"/>
  <c r="I85" i="45" s="1"/>
  <c r="J85" i="46"/>
  <c r="H85" i="45" s="1"/>
  <c r="R84" i="46"/>
  <c r="P84" i="45" s="1"/>
  <c r="Q84" i="46"/>
  <c r="O84" i="45" s="1"/>
  <c r="P84" i="46"/>
  <c r="N84" i="45" s="1"/>
  <c r="O84" i="46"/>
  <c r="M84" i="45" s="1"/>
  <c r="N84" i="46"/>
  <c r="L84" i="45" s="1"/>
  <c r="M84" i="46"/>
  <c r="K84" i="45" s="1"/>
  <c r="L84" i="46"/>
  <c r="J84" i="45" s="1"/>
  <c r="K84" i="46"/>
  <c r="I84" i="45" s="1"/>
  <c r="J84" i="46"/>
  <c r="R83" i="46"/>
  <c r="P83" i="45" s="1"/>
  <c r="Q83" i="46"/>
  <c r="O83" i="45" s="1"/>
  <c r="P83" i="46"/>
  <c r="N83" i="45" s="1"/>
  <c r="O83" i="46"/>
  <c r="M83" i="45" s="1"/>
  <c r="N83" i="46"/>
  <c r="L83" i="45" s="1"/>
  <c r="M83" i="46"/>
  <c r="K83" i="45" s="1"/>
  <c r="L83" i="46"/>
  <c r="J83" i="45" s="1"/>
  <c r="K83" i="46"/>
  <c r="J83" i="46"/>
  <c r="H83" i="45" s="1"/>
  <c r="R82" i="46"/>
  <c r="P82" i="45" s="1"/>
  <c r="Q82" i="46"/>
  <c r="O82" i="45" s="1"/>
  <c r="P82" i="46"/>
  <c r="O82" i="46"/>
  <c r="M82" i="45" s="1"/>
  <c r="N82" i="46"/>
  <c r="L82" i="45" s="1"/>
  <c r="M82" i="46"/>
  <c r="K82" i="45" s="1"/>
  <c r="L82" i="46"/>
  <c r="J82" i="45" s="1"/>
  <c r="K82" i="46"/>
  <c r="I82" i="45" s="1"/>
  <c r="J82" i="46"/>
  <c r="H82" i="45" s="1"/>
  <c r="R81" i="46"/>
  <c r="P81" i="45" s="1"/>
  <c r="Q81" i="46"/>
  <c r="O81" i="45" s="1"/>
  <c r="P81" i="46"/>
  <c r="O81" i="46"/>
  <c r="M81" i="45" s="1"/>
  <c r="N81" i="46"/>
  <c r="L81" i="45" s="1"/>
  <c r="M81" i="46"/>
  <c r="K81" i="45" s="1"/>
  <c r="L81" i="46"/>
  <c r="J81" i="45" s="1"/>
  <c r="K81" i="46"/>
  <c r="I81" i="45" s="1"/>
  <c r="J81" i="46"/>
  <c r="H81" i="45" s="1"/>
  <c r="R80" i="46"/>
  <c r="P80" i="45" s="1"/>
  <c r="Q80" i="46"/>
  <c r="O80" i="45" s="1"/>
  <c r="P80" i="46"/>
  <c r="N80" i="45" s="1"/>
  <c r="O80" i="46"/>
  <c r="M80" i="45" s="1"/>
  <c r="N80" i="46"/>
  <c r="L80" i="45" s="1"/>
  <c r="M80" i="46"/>
  <c r="K80" i="45" s="1"/>
  <c r="L80" i="46"/>
  <c r="J80" i="45" s="1"/>
  <c r="K80" i="46"/>
  <c r="I80" i="45" s="1"/>
  <c r="J80" i="46"/>
  <c r="H80" i="45" s="1"/>
  <c r="R79" i="46"/>
  <c r="P79" i="45" s="1"/>
  <c r="Q79" i="46"/>
  <c r="O79" i="45" s="1"/>
  <c r="P79" i="46"/>
  <c r="N79" i="45" s="1"/>
  <c r="O79" i="46"/>
  <c r="M79" i="45" s="1"/>
  <c r="N79" i="46"/>
  <c r="L79" i="45" s="1"/>
  <c r="M79" i="46"/>
  <c r="K79" i="45" s="1"/>
  <c r="L79" i="46"/>
  <c r="J79" i="45" s="1"/>
  <c r="K79" i="46"/>
  <c r="J79" i="46"/>
  <c r="H79" i="45" s="1"/>
  <c r="R78" i="46"/>
  <c r="P78" i="45" s="1"/>
  <c r="Q78" i="46"/>
  <c r="O78" i="45" s="1"/>
  <c r="P78" i="46"/>
  <c r="N78" i="45" s="1"/>
  <c r="O78" i="46"/>
  <c r="M78" i="45" s="1"/>
  <c r="N78" i="46"/>
  <c r="L78" i="45" s="1"/>
  <c r="M78" i="46"/>
  <c r="K78" i="45" s="1"/>
  <c r="L78" i="46"/>
  <c r="J78" i="45" s="1"/>
  <c r="K78" i="46"/>
  <c r="I78" i="45" s="1"/>
  <c r="J78" i="46"/>
  <c r="H78" i="45" s="1"/>
  <c r="R77" i="46"/>
  <c r="P77" i="45" s="1"/>
  <c r="Q77" i="46"/>
  <c r="O77" i="45" s="1"/>
  <c r="P77" i="46"/>
  <c r="N77" i="45" s="1"/>
  <c r="O77" i="46"/>
  <c r="M77" i="45" s="1"/>
  <c r="N77" i="46"/>
  <c r="L77" i="45" s="1"/>
  <c r="M77" i="46"/>
  <c r="K77" i="45" s="1"/>
  <c r="L77" i="46"/>
  <c r="J77" i="45" s="1"/>
  <c r="K77" i="46"/>
  <c r="I77" i="45" s="1"/>
  <c r="J77" i="46"/>
  <c r="H77" i="45" s="1"/>
  <c r="R76" i="46"/>
  <c r="P76" i="45" s="1"/>
  <c r="Q76" i="46"/>
  <c r="O76" i="45" s="1"/>
  <c r="P76" i="46"/>
  <c r="N76" i="45" s="1"/>
  <c r="O76" i="46"/>
  <c r="M76" i="45" s="1"/>
  <c r="N76" i="46"/>
  <c r="L76" i="45" s="1"/>
  <c r="M76" i="46"/>
  <c r="K76" i="45" s="1"/>
  <c r="L76" i="46"/>
  <c r="J76" i="45" s="1"/>
  <c r="K76" i="46"/>
  <c r="J76" i="46"/>
  <c r="H76" i="45" s="1"/>
  <c r="R75" i="46"/>
  <c r="P75" i="45" s="1"/>
  <c r="Q75" i="46"/>
  <c r="O75" i="45" s="1"/>
  <c r="P75" i="46"/>
  <c r="N75" i="45" s="1"/>
  <c r="O75" i="46"/>
  <c r="M75" i="45" s="1"/>
  <c r="N75" i="46"/>
  <c r="L75" i="45" s="1"/>
  <c r="M75" i="46"/>
  <c r="K75" i="45" s="1"/>
  <c r="L75" i="46"/>
  <c r="J75" i="45" s="1"/>
  <c r="K75" i="46"/>
  <c r="I75" i="45" s="1"/>
  <c r="J75" i="46"/>
  <c r="H75" i="45" s="1"/>
  <c r="R72" i="46"/>
  <c r="Q72" i="46"/>
  <c r="P72" i="46"/>
  <c r="O72" i="46"/>
  <c r="N72" i="46"/>
  <c r="M72" i="46"/>
  <c r="L72" i="46"/>
  <c r="K72" i="46"/>
  <c r="J72" i="46"/>
  <c r="R71" i="46"/>
  <c r="Q71" i="46"/>
  <c r="P71" i="46"/>
  <c r="O71" i="46"/>
  <c r="N71" i="46"/>
  <c r="M71" i="46"/>
  <c r="L71" i="46"/>
  <c r="K71" i="46"/>
  <c r="J71" i="46"/>
  <c r="R70" i="46"/>
  <c r="P70" i="45" s="1"/>
  <c r="Q70" i="46"/>
  <c r="O70" i="45" s="1"/>
  <c r="P70" i="46"/>
  <c r="N70" i="45" s="1"/>
  <c r="O70" i="46"/>
  <c r="M70" i="45" s="1"/>
  <c r="N70" i="46"/>
  <c r="L70" i="45" s="1"/>
  <c r="M70" i="46"/>
  <c r="K70" i="45" s="1"/>
  <c r="L70" i="46"/>
  <c r="J70" i="45" s="1"/>
  <c r="K70" i="46"/>
  <c r="I70" i="45" s="1"/>
  <c r="J70" i="46"/>
  <c r="H70" i="45" s="1"/>
  <c r="R69" i="46"/>
  <c r="P69" i="45" s="1"/>
  <c r="Q69" i="46"/>
  <c r="O69" i="45" s="1"/>
  <c r="P69" i="46"/>
  <c r="N69" i="45" s="1"/>
  <c r="O69" i="46"/>
  <c r="M69" i="45" s="1"/>
  <c r="N69" i="46"/>
  <c r="L69" i="45" s="1"/>
  <c r="M69" i="46"/>
  <c r="K69" i="45" s="1"/>
  <c r="L69" i="46"/>
  <c r="J69" i="45" s="1"/>
  <c r="K69" i="46"/>
  <c r="I69" i="45" s="1"/>
  <c r="J69" i="46"/>
  <c r="H69" i="45" s="1"/>
  <c r="R68" i="46"/>
  <c r="P68" i="45" s="1"/>
  <c r="Q68" i="46"/>
  <c r="O68" i="45" s="1"/>
  <c r="P68" i="46"/>
  <c r="N68" i="45" s="1"/>
  <c r="O68" i="46"/>
  <c r="M68" i="45" s="1"/>
  <c r="N68" i="46"/>
  <c r="L68" i="45" s="1"/>
  <c r="M68" i="46"/>
  <c r="K68" i="45" s="1"/>
  <c r="L68" i="46"/>
  <c r="J68" i="45" s="1"/>
  <c r="K68" i="46"/>
  <c r="I68" i="45" s="1"/>
  <c r="J68" i="46"/>
  <c r="H68" i="45" s="1"/>
  <c r="R67" i="46"/>
  <c r="P67" i="45" s="1"/>
  <c r="Q67" i="46"/>
  <c r="O67" i="45" s="1"/>
  <c r="P67" i="46"/>
  <c r="N67" i="45" s="1"/>
  <c r="O67" i="46"/>
  <c r="M67" i="45" s="1"/>
  <c r="N67" i="46"/>
  <c r="L67" i="45" s="1"/>
  <c r="M67" i="46"/>
  <c r="K67" i="45" s="1"/>
  <c r="L67" i="46"/>
  <c r="J67" i="45" s="1"/>
  <c r="K67" i="46"/>
  <c r="J67" i="46"/>
  <c r="H67" i="45" s="1"/>
  <c r="R66" i="46"/>
  <c r="P66" i="45" s="1"/>
  <c r="Q66" i="46"/>
  <c r="O66" i="45" s="1"/>
  <c r="P66" i="46"/>
  <c r="N66" i="45" s="1"/>
  <c r="O66" i="46"/>
  <c r="M66" i="45" s="1"/>
  <c r="N66" i="46"/>
  <c r="L66" i="45" s="1"/>
  <c r="M66" i="46"/>
  <c r="K66" i="45" s="1"/>
  <c r="L66" i="46"/>
  <c r="J66" i="45" s="1"/>
  <c r="K66" i="46"/>
  <c r="I66" i="45" s="1"/>
  <c r="J66" i="46"/>
  <c r="H66" i="45" s="1"/>
  <c r="R63" i="46"/>
  <c r="Q63" i="46"/>
  <c r="P63" i="46"/>
  <c r="O63" i="46"/>
  <c r="N63" i="46"/>
  <c r="M63" i="46"/>
  <c r="L63" i="46"/>
  <c r="K63" i="46"/>
  <c r="J63" i="46"/>
  <c r="R62" i="46"/>
  <c r="Q62" i="46"/>
  <c r="P62" i="46"/>
  <c r="O62" i="46"/>
  <c r="N62" i="46"/>
  <c r="M62" i="46"/>
  <c r="L62" i="46"/>
  <c r="K62" i="46"/>
  <c r="J62" i="46"/>
  <c r="R61" i="46"/>
  <c r="Q61" i="46"/>
  <c r="P61" i="46"/>
  <c r="N61" i="45" s="1"/>
  <c r="O61" i="46"/>
  <c r="M61" i="45" s="1"/>
  <c r="N61" i="46"/>
  <c r="L61" i="45" s="1"/>
  <c r="M61" i="46"/>
  <c r="K61" i="45" s="1"/>
  <c r="L61" i="46"/>
  <c r="K61" i="46"/>
  <c r="I61" i="45" s="1"/>
  <c r="J61" i="46"/>
  <c r="H61" i="45" s="1"/>
  <c r="R60" i="46"/>
  <c r="P60" i="45" s="1"/>
  <c r="Q60" i="46"/>
  <c r="O60" i="45" s="1"/>
  <c r="P60" i="46"/>
  <c r="N60" i="45" s="1"/>
  <c r="O60" i="46"/>
  <c r="N60" i="46"/>
  <c r="M60" i="46"/>
  <c r="K60" i="45" s="1"/>
  <c r="L60" i="46"/>
  <c r="J60" i="45" s="1"/>
  <c r="K60" i="46"/>
  <c r="J60" i="46"/>
  <c r="R59" i="46"/>
  <c r="Q59" i="46"/>
  <c r="P59" i="46"/>
  <c r="O59" i="46"/>
  <c r="N59" i="46"/>
  <c r="M59" i="46"/>
  <c r="L59" i="46"/>
  <c r="K59" i="46"/>
  <c r="J59" i="46"/>
  <c r="R56" i="46"/>
  <c r="Q56" i="46"/>
  <c r="P56" i="46"/>
  <c r="O56" i="46"/>
  <c r="N56" i="46"/>
  <c r="M56" i="46"/>
  <c r="L56" i="46"/>
  <c r="K56" i="46"/>
  <c r="J56" i="46"/>
  <c r="R55" i="46"/>
  <c r="Q55" i="46"/>
  <c r="P55" i="46"/>
  <c r="O55" i="46"/>
  <c r="N55" i="46"/>
  <c r="M55" i="46"/>
  <c r="L55" i="46"/>
  <c r="K55" i="46"/>
  <c r="J55" i="46"/>
  <c r="R54" i="46"/>
  <c r="Q54" i="46"/>
  <c r="P54" i="46"/>
  <c r="O54" i="46"/>
  <c r="N54" i="46"/>
  <c r="M54" i="46"/>
  <c r="L54" i="46"/>
  <c r="K54" i="46"/>
  <c r="J54" i="46"/>
  <c r="R53" i="46"/>
  <c r="Q53" i="46"/>
  <c r="P53" i="46"/>
  <c r="O53" i="46"/>
  <c r="N53" i="46"/>
  <c r="M53" i="46"/>
  <c r="L53" i="46"/>
  <c r="K53" i="46"/>
  <c r="J53" i="46"/>
  <c r="R52" i="46"/>
  <c r="Q52" i="46"/>
  <c r="P52" i="46"/>
  <c r="O52" i="46"/>
  <c r="N52" i="46"/>
  <c r="M52" i="46"/>
  <c r="L52" i="46"/>
  <c r="K52" i="46"/>
  <c r="J52" i="46"/>
  <c r="R49" i="46"/>
  <c r="Q49" i="46"/>
  <c r="P49" i="46"/>
  <c r="O49" i="46"/>
  <c r="N49" i="46"/>
  <c r="M49" i="46"/>
  <c r="L49" i="46"/>
  <c r="K49" i="46"/>
  <c r="J49" i="46"/>
  <c r="R48" i="46"/>
  <c r="P48" i="45" s="1"/>
  <c r="Q48" i="46"/>
  <c r="O48" i="45" s="1"/>
  <c r="P48" i="46"/>
  <c r="N48" i="45" s="1"/>
  <c r="O48" i="46"/>
  <c r="M48" i="45" s="1"/>
  <c r="N48" i="46"/>
  <c r="L48" i="45" s="1"/>
  <c r="M48" i="46"/>
  <c r="K48" i="45" s="1"/>
  <c r="L48" i="46"/>
  <c r="J48" i="45" s="1"/>
  <c r="K48" i="46"/>
  <c r="I48" i="45" s="1"/>
  <c r="J48" i="46"/>
  <c r="H48" i="45" s="1"/>
  <c r="R47" i="46"/>
  <c r="P47" i="45" s="1"/>
  <c r="Q47" i="46"/>
  <c r="O47" i="45" s="1"/>
  <c r="P47" i="46"/>
  <c r="N47" i="45" s="1"/>
  <c r="O47" i="46"/>
  <c r="M47" i="45" s="1"/>
  <c r="N47" i="46"/>
  <c r="L47" i="45" s="1"/>
  <c r="M47" i="46"/>
  <c r="K47" i="45" s="1"/>
  <c r="L47" i="46"/>
  <c r="J47" i="45" s="1"/>
  <c r="K47" i="46"/>
  <c r="J47" i="46"/>
  <c r="H47" i="45" s="1"/>
  <c r="R46" i="46"/>
  <c r="P46" i="45" s="1"/>
  <c r="Q46" i="46"/>
  <c r="O46" i="45" s="1"/>
  <c r="P46" i="46"/>
  <c r="O46" i="46"/>
  <c r="M46" i="45" s="1"/>
  <c r="N46" i="46"/>
  <c r="L46" i="45" s="1"/>
  <c r="M46" i="46"/>
  <c r="K46" i="45" s="1"/>
  <c r="L46" i="46"/>
  <c r="J46" i="45" s="1"/>
  <c r="K46" i="46"/>
  <c r="I46" i="45" s="1"/>
  <c r="J46" i="46"/>
  <c r="H46" i="45" s="1"/>
  <c r="R45" i="46"/>
  <c r="P45" i="45" s="1"/>
  <c r="Q45" i="46"/>
  <c r="O45" i="45" s="1"/>
  <c r="P45" i="46"/>
  <c r="N45" i="45" s="1"/>
  <c r="O45" i="46"/>
  <c r="M45" i="45" s="1"/>
  <c r="N45" i="46"/>
  <c r="L45" i="45" s="1"/>
  <c r="M45" i="46"/>
  <c r="K45" i="45" s="1"/>
  <c r="L45" i="46"/>
  <c r="J45" i="45" s="1"/>
  <c r="K45" i="46"/>
  <c r="I45" i="45" s="1"/>
  <c r="J45" i="46"/>
  <c r="H45" i="45" s="1"/>
  <c r="R44" i="46"/>
  <c r="P44" i="45" s="1"/>
  <c r="Q44" i="46"/>
  <c r="O44" i="45" s="1"/>
  <c r="P44" i="46"/>
  <c r="N44" i="45" s="1"/>
  <c r="O44" i="46"/>
  <c r="M44" i="45" s="1"/>
  <c r="N44" i="46"/>
  <c r="L44" i="45" s="1"/>
  <c r="M44" i="46"/>
  <c r="K44" i="45" s="1"/>
  <c r="L44" i="46"/>
  <c r="J44" i="45" s="1"/>
  <c r="K44" i="46"/>
  <c r="I44" i="45" s="1"/>
  <c r="J44" i="46"/>
  <c r="H44" i="45" s="1"/>
  <c r="R43" i="46"/>
  <c r="P43" i="45" s="1"/>
  <c r="Q43" i="46"/>
  <c r="O43" i="45" s="1"/>
  <c r="P43" i="46"/>
  <c r="N43" i="45" s="1"/>
  <c r="O43" i="46"/>
  <c r="M43" i="45" s="1"/>
  <c r="N43" i="46"/>
  <c r="L43" i="45" s="1"/>
  <c r="M43" i="46"/>
  <c r="K43" i="45" s="1"/>
  <c r="L43" i="46"/>
  <c r="J43" i="45" s="1"/>
  <c r="K43" i="46"/>
  <c r="I43" i="45" s="1"/>
  <c r="J43" i="46"/>
  <c r="R42" i="46"/>
  <c r="P42" i="45" s="1"/>
  <c r="Q42" i="46"/>
  <c r="O42" i="45" s="1"/>
  <c r="P42" i="46"/>
  <c r="N42" i="45" s="1"/>
  <c r="O42" i="46"/>
  <c r="M42" i="45" s="1"/>
  <c r="N42" i="46"/>
  <c r="L42" i="45" s="1"/>
  <c r="M42" i="46"/>
  <c r="K42" i="45" s="1"/>
  <c r="L42" i="46"/>
  <c r="J42" i="45" s="1"/>
  <c r="K42" i="46"/>
  <c r="I42" i="45" s="1"/>
  <c r="J42" i="46"/>
  <c r="H42" i="45" s="1"/>
  <c r="R41" i="46"/>
  <c r="P41" i="45" s="1"/>
  <c r="Q41" i="46"/>
  <c r="O41" i="45" s="1"/>
  <c r="P41" i="46"/>
  <c r="N41" i="45" s="1"/>
  <c r="O41" i="46"/>
  <c r="M41" i="45" s="1"/>
  <c r="N41" i="46"/>
  <c r="M41" i="46"/>
  <c r="K41" i="45" s="1"/>
  <c r="L41" i="46"/>
  <c r="J41" i="45" s="1"/>
  <c r="K41" i="46"/>
  <c r="I41" i="45" s="1"/>
  <c r="J41" i="46"/>
  <c r="H41" i="45" s="1"/>
  <c r="R40" i="46"/>
  <c r="P40" i="45" s="1"/>
  <c r="Q40" i="46"/>
  <c r="O40" i="45" s="1"/>
  <c r="P40" i="46"/>
  <c r="N40" i="45" s="1"/>
  <c r="O40" i="46"/>
  <c r="M40" i="45" s="1"/>
  <c r="N40" i="46"/>
  <c r="L40" i="45" s="1"/>
  <c r="M40" i="46"/>
  <c r="K40" i="45" s="1"/>
  <c r="L40" i="46"/>
  <c r="J40" i="45" s="1"/>
  <c r="K40" i="46"/>
  <c r="I40" i="45" s="1"/>
  <c r="J40" i="46"/>
  <c r="H40" i="45" s="1"/>
  <c r="R39" i="46"/>
  <c r="P39" i="45" s="1"/>
  <c r="Q39" i="46"/>
  <c r="O39" i="45" s="1"/>
  <c r="P39" i="46"/>
  <c r="O39" i="46"/>
  <c r="M39" i="45" s="1"/>
  <c r="N39" i="46"/>
  <c r="L39" i="45" s="1"/>
  <c r="M39" i="46"/>
  <c r="K39" i="45" s="1"/>
  <c r="L39" i="46"/>
  <c r="J39" i="45" s="1"/>
  <c r="K39" i="46"/>
  <c r="I39" i="45" s="1"/>
  <c r="J39" i="46"/>
  <c r="H39" i="45" s="1"/>
  <c r="R36" i="46"/>
  <c r="Q36" i="46"/>
  <c r="P36" i="46"/>
  <c r="O36" i="46"/>
  <c r="N36" i="46"/>
  <c r="M36" i="46"/>
  <c r="L36" i="46"/>
  <c r="K36" i="46"/>
  <c r="J36" i="46"/>
  <c r="R35" i="46"/>
  <c r="P35" i="45" s="1"/>
  <c r="Q35" i="46"/>
  <c r="O35" i="45" s="1"/>
  <c r="P35" i="46"/>
  <c r="O35" i="46"/>
  <c r="M35" i="45" s="1"/>
  <c r="N35" i="46"/>
  <c r="L35" i="45" s="1"/>
  <c r="M35" i="46"/>
  <c r="K35" i="45" s="1"/>
  <c r="L35" i="46"/>
  <c r="J35" i="45" s="1"/>
  <c r="K35" i="46"/>
  <c r="I35" i="45" s="1"/>
  <c r="J35" i="46"/>
  <c r="H35" i="45" s="1"/>
  <c r="R34" i="46"/>
  <c r="P34" i="45" s="1"/>
  <c r="Q34" i="46"/>
  <c r="O34" i="45" s="1"/>
  <c r="P34" i="46"/>
  <c r="N34" i="45" s="1"/>
  <c r="O34" i="46"/>
  <c r="M34" i="45" s="1"/>
  <c r="N34" i="46"/>
  <c r="L34" i="45" s="1"/>
  <c r="M34" i="46"/>
  <c r="K34" i="45" s="1"/>
  <c r="L34" i="46"/>
  <c r="J34" i="45" s="1"/>
  <c r="K34" i="46"/>
  <c r="I34" i="45" s="1"/>
  <c r="J34" i="46"/>
  <c r="H34" i="45" s="1"/>
  <c r="R33" i="46"/>
  <c r="P33" i="45" s="1"/>
  <c r="Q33" i="46"/>
  <c r="O33" i="45" s="1"/>
  <c r="P33" i="46"/>
  <c r="N33" i="45" s="1"/>
  <c r="O33" i="46"/>
  <c r="M33" i="45" s="1"/>
  <c r="N33" i="46"/>
  <c r="L33" i="45" s="1"/>
  <c r="M33" i="46"/>
  <c r="K33" i="45" s="1"/>
  <c r="L33" i="46"/>
  <c r="J33" i="45" s="1"/>
  <c r="K33" i="46"/>
  <c r="I33" i="45" s="1"/>
  <c r="J33" i="46"/>
  <c r="H33" i="45" s="1"/>
  <c r="R32" i="46"/>
  <c r="P32" i="45" s="1"/>
  <c r="Q32" i="46"/>
  <c r="O32" i="45" s="1"/>
  <c r="P32" i="46"/>
  <c r="N32" i="45" s="1"/>
  <c r="O32" i="46"/>
  <c r="M32" i="45" s="1"/>
  <c r="N32" i="46"/>
  <c r="L32" i="45" s="1"/>
  <c r="M32" i="46"/>
  <c r="K32" i="45" s="1"/>
  <c r="L32" i="46"/>
  <c r="J32" i="45" s="1"/>
  <c r="K32" i="46"/>
  <c r="J32" i="46"/>
  <c r="H32" i="45" s="1"/>
  <c r="R31" i="46"/>
  <c r="P31" i="45" s="1"/>
  <c r="Q31" i="46"/>
  <c r="O31" i="45" s="1"/>
  <c r="P31" i="46"/>
  <c r="O31" i="46"/>
  <c r="M31" i="45" s="1"/>
  <c r="N31" i="46"/>
  <c r="L31" i="45" s="1"/>
  <c r="M31" i="46"/>
  <c r="K31" i="45" s="1"/>
  <c r="L31" i="46"/>
  <c r="J31" i="45" s="1"/>
  <c r="K31" i="46"/>
  <c r="I31" i="45" s="1"/>
  <c r="J31" i="46"/>
  <c r="H31" i="45" s="1"/>
  <c r="R30" i="46"/>
  <c r="P30" i="45" s="1"/>
  <c r="Q30" i="46"/>
  <c r="O30" i="45" s="1"/>
  <c r="P30" i="46"/>
  <c r="N30" i="45" s="1"/>
  <c r="O30" i="46"/>
  <c r="M30" i="45" s="1"/>
  <c r="N30" i="46"/>
  <c r="L30" i="45" s="1"/>
  <c r="M30" i="46"/>
  <c r="K30" i="45" s="1"/>
  <c r="L30" i="46"/>
  <c r="J30" i="45" s="1"/>
  <c r="K30" i="46"/>
  <c r="I30" i="45" s="1"/>
  <c r="J30" i="46"/>
  <c r="H30" i="45" s="1"/>
  <c r="R29" i="46"/>
  <c r="P29" i="45" s="1"/>
  <c r="Q29" i="46"/>
  <c r="O29" i="45" s="1"/>
  <c r="P29" i="46"/>
  <c r="N29" i="45" s="1"/>
  <c r="O29" i="46"/>
  <c r="M29" i="45" s="1"/>
  <c r="N29" i="46"/>
  <c r="L29" i="45" s="1"/>
  <c r="M29" i="46"/>
  <c r="K29" i="45" s="1"/>
  <c r="L29" i="46"/>
  <c r="J29" i="45" s="1"/>
  <c r="K29" i="46"/>
  <c r="I29" i="45" s="1"/>
  <c r="J29" i="46"/>
  <c r="H29" i="45" s="1"/>
  <c r="R28" i="46"/>
  <c r="P28" i="45" s="1"/>
  <c r="Q28" i="46"/>
  <c r="O28" i="45" s="1"/>
  <c r="P28" i="46"/>
  <c r="O28" i="46"/>
  <c r="M28" i="45" s="1"/>
  <c r="N28" i="46"/>
  <c r="L28" i="45" s="1"/>
  <c r="M28" i="46"/>
  <c r="K28" i="45" s="1"/>
  <c r="L28" i="46"/>
  <c r="J28" i="45" s="1"/>
  <c r="K28" i="46"/>
  <c r="I28" i="45" s="1"/>
  <c r="J28" i="46"/>
  <c r="H28" i="45" s="1"/>
  <c r="R27" i="46"/>
  <c r="P27" i="45" s="1"/>
  <c r="Q27" i="46"/>
  <c r="O27" i="45" s="1"/>
  <c r="P27" i="46"/>
  <c r="N27" i="45" s="1"/>
  <c r="O27" i="46"/>
  <c r="M27" i="45" s="1"/>
  <c r="N27" i="46"/>
  <c r="L27" i="45" s="1"/>
  <c r="M27" i="46"/>
  <c r="K27" i="45" s="1"/>
  <c r="L27" i="46"/>
  <c r="J27" i="45" s="1"/>
  <c r="K27" i="46"/>
  <c r="I27" i="45" s="1"/>
  <c r="J27" i="46"/>
  <c r="H27" i="45" s="1"/>
  <c r="R26" i="46"/>
  <c r="P26" i="45" s="1"/>
  <c r="Q26" i="46"/>
  <c r="O26" i="45" s="1"/>
  <c r="P26" i="46"/>
  <c r="N26" i="45" s="1"/>
  <c r="O26" i="46"/>
  <c r="M26" i="45" s="1"/>
  <c r="N26" i="46"/>
  <c r="L26" i="45" s="1"/>
  <c r="M26" i="46"/>
  <c r="K26" i="45" s="1"/>
  <c r="L26" i="46"/>
  <c r="J26" i="45" s="1"/>
  <c r="K26" i="46"/>
  <c r="I26" i="45" s="1"/>
  <c r="J26" i="46"/>
  <c r="H26" i="45" s="1"/>
  <c r="R25" i="46"/>
  <c r="P25" i="45" s="1"/>
  <c r="Q25" i="46"/>
  <c r="O25" i="45" s="1"/>
  <c r="P25" i="46"/>
  <c r="N25" i="45" s="1"/>
  <c r="O25" i="46"/>
  <c r="M25" i="45" s="1"/>
  <c r="N25" i="46"/>
  <c r="L25" i="45" s="1"/>
  <c r="M25" i="46"/>
  <c r="K25" i="45" s="1"/>
  <c r="L25" i="46"/>
  <c r="J25" i="45" s="1"/>
  <c r="K25" i="46"/>
  <c r="I25" i="45" s="1"/>
  <c r="J25" i="46"/>
  <c r="H25" i="45" s="1"/>
  <c r="R24" i="46"/>
  <c r="P24" i="45" s="1"/>
  <c r="Q24" i="46"/>
  <c r="O24" i="45" s="1"/>
  <c r="P24" i="46"/>
  <c r="O24" i="46"/>
  <c r="M24" i="45" s="1"/>
  <c r="N24" i="46"/>
  <c r="L24" i="45" s="1"/>
  <c r="M24" i="46"/>
  <c r="K24" i="45" s="1"/>
  <c r="L24" i="46"/>
  <c r="J24" i="45" s="1"/>
  <c r="K24" i="46"/>
  <c r="I24" i="45" s="1"/>
  <c r="J24" i="46"/>
  <c r="H24" i="45" s="1"/>
  <c r="R21" i="46"/>
  <c r="Q21" i="46"/>
  <c r="P21" i="46"/>
  <c r="O21" i="46"/>
  <c r="N21" i="46"/>
  <c r="M21" i="46"/>
  <c r="L21" i="46"/>
  <c r="K21" i="46"/>
  <c r="J21" i="46"/>
  <c r="R20" i="46"/>
  <c r="P20" i="45" s="1"/>
  <c r="Q20" i="46"/>
  <c r="O20" i="45" s="1"/>
  <c r="P20" i="46"/>
  <c r="N20" i="45" s="1"/>
  <c r="O20" i="46"/>
  <c r="M20" i="45" s="1"/>
  <c r="N20" i="46"/>
  <c r="L20" i="45" s="1"/>
  <c r="M20" i="46"/>
  <c r="K20" i="45" s="1"/>
  <c r="L20" i="46"/>
  <c r="J20" i="45" s="1"/>
  <c r="K20" i="46"/>
  <c r="I20" i="45" s="1"/>
  <c r="J20" i="46"/>
  <c r="H20" i="45" s="1"/>
  <c r="R19" i="46"/>
  <c r="P19" i="45" s="1"/>
  <c r="Q19" i="46"/>
  <c r="O19" i="45" s="1"/>
  <c r="P19" i="46"/>
  <c r="N19" i="45" s="1"/>
  <c r="O19" i="46"/>
  <c r="M19" i="45" s="1"/>
  <c r="N19" i="46"/>
  <c r="L19" i="45" s="1"/>
  <c r="M19" i="46"/>
  <c r="K19" i="45" s="1"/>
  <c r="L19" i="46"/>
  <c r="J19" i="45" s="1"/>
  <c r="K19" i="46"/>
  <c r="J19" i="46"/>
  <c r="H19" i="45" s="1"/>
  <c r="R18" i="46"/>
  <c r="P18" i="45" s="1"/>
  <c r="Q18" i="46"/>
  <c r="O18" i="45" s="1"/>
  <c r="P18" i="46"/>
  <c r="N18" i="45" s="1"/>
  <c r="O18" i="46"/>
  <c r="M18" i="45" s="1"/>
  <c r="N18" i="46"/>
  <c r="L18" i="45" s="1"/>
  <c r="M18" i="46"/>
  <c r="K18" i="45" s="1"/>
  <c r="L18" i="46"/>
  <c r="J18" i="45" s="1"/>
  <c r="K18" i="46"/>
  <c r="I18" i="45" s="1"/>
  <c r="J18" i="46"/>
  <c r="R17" i="46"/>
  <c r="P17" i="45" s="1"/>
  <c r="Q17" i="46"/>
  <c r="O17" i="45" s="1"/>
  <c r="P17" i="46"/>
  <c r="N17" i="45" s="1"/>
  <c r="O17" i="46"/>
  <c r="M17" i="45" s="1"/>
  <c r="N17" i="46"/>
  <c r="L17" i="45" s="1"/>
  <c r="M17" i="46"/>
  <c r="K17" i="45" s="1"/>
  <c r="L17" i="46"/>
  <c r="K17" i="46"/>
  <c r="I17" i="45" s="1"/>
  <c r="J17" i="46"/>
  <c r="H17" i="45" s="1"/>
  <c r="R16" i="46"/>
  <c r="P16" i="45" s="1"/>
  <c r="Q16" i="46"/>
  <c r="O16" i="45" s="1"/>
  <c r="P16" i="46"/>
  <c r="N16" i="45" s="1"/>
  <c r="O16" i="46"/>
  <c r="M16" i="45" s="1"/>
  <c r="N16" i="46"/>
  <c r="L16" i="45" s="1"/>
  <c r="M16" i="46"/>
  <c r="K16" i="45" s="1"/>
  <c r="L16" i="46"/>
  <c r="J16" i="45" s="1"/>
  <c r="K16" i="46"/>
  <c r="I16" i="45" s="1"/>
  <c r="J16" i="46"/>
  <c r="H16" i="45" s="1"/>
  <c r="R13" i="46"/>
  <c r="Q13" i="46"/>
  <c r="P13" i="46"/>
  <c r="O13" i="46"/>
  <c r="N13" i="46"/>
  <c r="M13" i="46"/>
  <c r="L13" i="46"/>
  <c r="K13" i="46"/>
  <c r="J13" i="46"/>
  <c r="R12" i="46"/>
  <c r="P12" i="45" s="1"/>
  <c r="Q12" i="46"/>
  <c r="O12" i="45" s="1"/>
  <c r="P12" i="46"/>
  <c r="N12" i="45" s="1"/>
  <c r="O12" i="46"/>
  <c r="M12" i="45" s="1"/>
  <c r="N12" i="46"/>
  <c r="M12" i="46"/>
  <c r="K12" i="45" s="1"/>
  <c r="L12" i="46"/>
  <c r="J12" i="45" s="1"/>
  <c r="K12" i="46"/>
  <c r="I12" i="45" s="1"/>
  <c r="J12" i="46"/>
  <c r="H12" i="45" s="1"/>
  <c r="R11" i="46"/>
  <c r="Q11" i="46"/>
  <c r="P11" i="46"/>
  <c r="N11" i="45" s="1"/>
  <c r="O11" i="46"/>
  <c r="M11" i="45" s="1"/>
  <c r="N11" i="46"/>
  <c r="L11" i="45" s="1"/>
  <c r="M11" i="46"/>
  <c r="L11" i="46"/>
  <c r="K11" i="46"/>
  <c r="I11" i="45" s="1"/>
  <c r="J11" i="46"/>
  <c r="I12" i="46"/>
  <c r="G12" i="45" s="1"/>
  <c r="I13" i="46"/>
  <c r="I16" i="46"/>
  <c r="G16" i="45" s="1"/>
  <c r="I17" i="46"/>
  <c r="G17" i="45" s="1"/>
  <c r="I18" i="46"/>
  <c r="G18" i="45" s="1"/>
  <c r="I19" i="46"/>
  <c r="G19" i="45" s="1"/>
  <c r="I20" i="46"/>
  <c r="G20" i="45" s="1"/>
  <c r="I21" i="46"/>
  <c r="I24" i="46"/>
  <c r="G24" i="45" s="1"/>
  <c r="I25" i="46"/>
  <c r="G25" i="45" s="1"/>
  <c r="I26" i="46"/>
  <c r="G26" i="45" s="1"/>
  <c r="I27" i="46"/>
  <c r="G27" i="45" s="1"/>
  <c r="I28" i="46"/>
  <c r="G28" i="45" s="1"/>
  <c r="I29" i="46"/>
  <c r="G29" i="45" s="1"/>
  <c r="I30" i="46"/>
  <c r="G30" i="45" s="1"/>
  <c r="I31" i="46"/>
  <c r="G31" i="45" s="1"/>
  <c r="I32" i="46"/>
  <c r="G32" i="45" s="1"/>
  <c r="I33" i="46"/>
  <c r="G33" i="45" s="1"/>
  <c r="I34" i="46"/>
  <c r="G34" i="45" s="1"/>
  <c r="I35" i="46"/>
  <c r="G35" i="45" s="1"/>
  <c r="I36" i="46"/>
  <c r="I39" i="46"/>
  <c r="G39" i="45" s="1"/>
  <c r="I40" i="46"/>
  <c r="G40" i="45" s="1"/>
  <c r="I41" i="46"/>
  <c r="G41" i="45" s="1"/>
  <c r="I42" i="46"/>
  <c r="G42" i="45" s="1"/>
  <c r="I43" i="46"/>
  <c r="G43" i="45" s="1"/>
  <c r="I44" i="46"/>
  <c r="G44" i="45" s="1"/>
  <c r="I45" i="46"/>
  <c r="G45" i="45" s="1"/>
  <c r="I46" i="46"/>
  <c r="G46" i="45" s="1"/>
  <c r="I47" i="46"/>
  <c r="G47" i="45" s="1"/>
  <c r="I48" i="46"/>
  <c r="G48" i="45" s="1"/>
  <c r="I49" i="46"/>
  <c r="I52" i="46"/>
  <c r="I53" i="46"/>
  <c r="I54" i="46"/>
  <c r="I55" i="46"/>
  <c r="I56" i="46"/>
  <c r="I59" i="46"/>
  <c r="I60" i="46"/>
  <c r="G60" i="45" s="1"/>
  <c r="I61" i="46"/>
  <c r="G61" i="45" s="1"/>
  <c r="I62" i="46"/>
  <c r="I63" i="46"/>
  <c r="I66" i="46"/>
  <c r="G66" i="45" s="1"/>
  <c r="I67" i="46"/>
  <c r="G67" i="45" s="1"/>
  <c r="I68" i="46"/>
  <c r="G68" i="45" s="1"/>
  <c r="I69" i="46"/>
  <c r="I70" i="46"/>
  <c r="I71" i="46"/>
  <c r="I72" i="46"/>
  <c r="I75" i="46"/>
  <c r="G75" i="45" s="1"/>
  <c r="I76" i="46"/>
  <c r="G76" i="45" s="1"/>
  <c r="I77" i="46"/>
  <c r="G77" i="45" s="1"/>
  <c r="I78" i="46"/>
  <c r="G78" i="45" s="1"/>
  <c r="I79" i="46"/>
  <c r="G79" i="45" s="1"/>
  <c r="I80" i="46"/>
  <c r="G80" i="45" s="1"/>
  <c r="I81" i="46"/>
  <c r="G81" i="45" s="1"/>
  <c r="I82" i="46"/>
  <c r="G82" i="45" s="1"/>
  <c r="I83" i="46"/>
  <c r="G83" i="45" s="1"/>
  <c r="I84" i="46"/>
  <c r="G84" i="45" s="1"/>
  <c r="I85" i="46"/>
  <c r="G85" i="45" s="1"/>
  <c r="I86" i="46"/>
  <c r="G86" i="45" s="1"/>
  <c r="I87" i="46"/>
  <c r="I88" i="46"/>
  <c r="I91" i="46"/>
  <c r="G91" i="45" s="1"/>
  <c r="I92" i="46"/>
  <c r="G92" i="45" s="1"/>
  <c r="I93" i="46"/>
  <c r="I94" i="46"/>
  <c r="G94" i="45" s="1"/>
  <c r="I95" i="46"/>
  <c r="G95" i="45" s="1"/>
  <c r="I96" i="46"/>
  <c r="G96" i="45" s="1"/>
  <c r="I97" i="46"/>
  <c r="G97" i="45" s="1"/>
  <c r="I98" i="46"/>
  <c r="G98" i="45" s="1"/>
  <c r="I99" i="46"/>
  <c r="G99" i="45" s="1"/>
  <c r="I100" i="46"/>
  <c r="G100" i="45" s="1"/>
  <c r="I101" i="46"/>
  <c r="I102" i="46"/>
  <c r="I105" i="46"/>
  <c r="I106" i="46"/>
  <c r="I107" i="46"/>
  <c r="I108" i="46"/>
  <c r="I109" i="46"/>
  <c r="I112" i="46"/>
  <c r="I113" i="46"/>
  <c r="I114" i="46"/>
  <c r="I115" i="46"/>
  <c r="I116" i="46"/>
  <c r="I119" i="46"/>
  <c r="G119" i="45" s="1"/>
  <c r="I120" i="46"/>
  <c r="G120" i="45" s="1"/>
  <c r="I121" i="46"/>
  <c r="I122" i="46"/>
  <c r="I125" i="46"/>
  <c r="G125" i="45" s="1"/>
  <c r="I126" i="46"/>
  <c r="G126" i="45" s="1"/>
  <c r="I127" i="46"/>
  <c r="I128" i="46"/>
  <c r="I129" i="46"/>
  <c r="I132" i="46"/>
  <c r="D31" i="81" s="1"/>
  <c r="I133" i="46"/>
  <c r="I134" i="46"/>
  <c r="D35" i="81" s="1"/>
  <c r="I135" i="46"/>
  <c r="I138" i="46"/>
  <c r="G138" i="45" s="1"/>
  <c r="I139" i="46"/>
  <c r="G139" i="45" s="1"/>
  <c r="I140" i="46"/>
  <c r="I141" i="46"/>
  <c r="J7" i="46"/>
  <c r="E8" i="81" s="1"/>
  <c r="K7" i="46"/>
  <c r="F8" i="81" s="1"/>
  <c r="L7" i="46"/>
  <c r="G8" i="81" s="1"/>
  <c r="M7" i="46"/>
  <c r="H8" i="81" s="1"/>
  <c r="N7" i="46"/>
  <c r="I8" i="81" s="1"/>
  <c r="O7" i="46"/>
  <c r="J8" i="81" s="1"/>
  <c r="P7" i="46"/>
  <c r="K8" i="81" s="1"/>
  <c r="Q7" i="46"/>
  <c r="L8" i="81" s="1"/>
  <c r="R7" i="46"/>
  <c r="M8" i="81" s="1"/>
  <c r="J4" i="59"/>
  <c r="K4" i="59" s="1"/>
  <c r="L4" i="59" s="1"/>
  <c r="M4" i="59" s="1"/>
  <c r="N4" i="59" s="1"/>
  <c r="O4" i="59" s="1"/>
  <c r="Q4" i="59" s="1"/>
  <c r="R4" i="59" s="1"/>
  <c r="L6" i="59"/>
  <c r="G46" i="78" s="1"/>
  <c r="J6" i="59"/>
  <c r="E46" i="78" s="1"/>
  <c r="I8" i="87"/>
  <c r="J8" i="87"/>
  <c r="M8" i="87"/>
  <c r="N8" i="87"/>
  <c r="R8" i="87"/>
  <c r="S8" i="87"/>
  <c r="T8" i="87"/>
  <c r="U8" i="87"/>
  <c r="V8" i="87"/>
  <c r="W8" i="87"/>
  <c r="Y8" i="87"/>
  <c r="Z8" i="87"/>
  <c r="AA8" i="87"/>
  <c r="AB8" i="87"/>
  <c r="AC8" i="87"/>
  <c r="AD8" i="87"/>
  <c r="AE8" i="87"/>
  <c r="AF8" i="87"/>
  <c r="AG8" i="87"/>
  <c r="AH8" i="87"/>
  <c r="AI8" i="87"/>
  <c r="AK8" i="87"/>
  <c r="AL8" i="87"/>
  <c r="I11" i="87"/>
  <c r="J11" i="87"/>
  <c r="M11" i="87"/>
  <c r="N11" i="87"/>
  <c r="R11" i="87"/>
  <c r="S11" i="87"/>
  <c r="T11" i="87"/>
  <c r="U11" i="87"/>
  <c r="V11" i="87"/>
  <c r="W11" i="87"/>
  <c r="Y11" i="87"/>
  <c r="Z11" i="87"/>
  <c r="AA11" i="87"/>
  <c r="AB11" i="87"/>
  <c r="AC11" i="87"/>
  <c r="AD11" i="87"/>
  <c r="AE11" i="87"/>
  <c r="AF11" i="87"/>
  <c r="AG11" i="87"/>
  <c r="AH11" i="87"/>
  <c r="AI11" i="87"/>
  <c r="AK11" i="87"/>
  <c r="AL11" i="87"/>
  <c r="I12" i="87"/>
  <c r="J12" i="87"/>
  <c r="M12" i="87"/>
  <c r="N12" i="87"/>
  <c r="R12" i="87"/>
  <c r="S12" i="87"/>
  <c r="T12" i="87"/>
  <c r="U12" i="87"/>
  <c r="V12" i="87"/>
  <c r="W12" i="87"/>
  <c r="Y12" i="87"/>
  <c r="Z12" i="87"/>
  <c r="AA12" i="87"/>
  <c r="AB12" i="87"/>
  <c r="AC12" i="87"/>
  <c r="AD12" i="87"/>
  <c r="AE12" i="87"/>
  <c r="AF12" i="87"/>
  <c r="AG12" i="87"/>
  <c r="AH12" i="87"/>
  <c r="AI12" i="87"/>
  <c r="AK12" i="87"/>
  <c r="AL12" i="87"/>
  <c r="I13" i="87"/>
  <c r="J13" i="87"/>
  <c r="M13" i="87"/>
  <c r="N13" i="87"/>
  <c r="R13" i="87"/>
  <c r="S13" i="87"/>
  <c r="T13" i="87"/>
  <c r="U13" i="87"/>
  <c r="V13" i="87"/>
  <c r="W13" i="87"/>
  <c r="Y13" i="87"/>
  <c r="Z13" i="87"/>
  <c r="AA13" i="87"/>
  <c r="AB13" i="87"/>
  <c r="AC13" i="87"/>
  <c r="AD13" i="87"/>
  <c r="AE13" i="87"/>
  <c r="AF13" i="87"/>
  <c r="AG13" i="87"/>
  <c r="AH13" i="87"/>
  <c r="AI13" i="87"/>
  <c r="AK13" i="87"/>
  <c r="AL13" i="87"/>
  <c r="I18" i="87"/>
  <c r="J18" i="87"/>
  <c r="M18" i="87"/>
  <c r="N18" i="87"/>
  <c r="R18" i="87"/>
  <c r="S18" i="87"/>
  <c r="T18" i="87"/>
  <c r="U18" i="87"/>
  <c r="V18" i="87"/>
  <c r="W18" i="87"/>
  <c r="Y18" i="87"/>
  <c r="Z18" i="87"/>
  <c r="AA18" i="87"/>
  <c r="AB18" i="87"/>
  <c r="AC18" i="87"/>
  <c r="AD18" i="87"/>
  <c r="AE18" i="87"/>
  <c r="AF18" i="87"/>
  <c r="AG18" i="87"/>
  <c r="AH18" i="87"/>
  <c r="AI18" i="87"/>
  <c r="AK18" i="87"/>
  <c r="AL18" i="87"/>
  <c r="I19" i="87"/>
  <c r="J19" i="87"/>
  <c r="M19" i="87"/>
  <c r="N19" i="87"/>
  <c r="R19" i="87"/>
  <c r="S19" i="87"/>
  <c r="T19" i="87"/>
  <c r="U19" i="87"/>
  <c r="V19" i="87"/>
  <c r="W19" i="87"/>
  <c r="Y19" i="87"/>
  <c r="Z19" i="87"/>
  <c r="AA19" i="87"/>
  <c r="AB19" i="87"/>
  <c r="AC19" i="87"/>
  <c r="AD19" i="87"/>
  <c r="AE19" i="87"/>
  <c r="AF19" i="87"/>
  <c r="AG19" i="87"/>
  <c r="AH19" i="87"/>
  <c r="AI19" i="87"/>
  <c r="AK19" i="87"/>
  <c r="AL19" i="87"/>
  <c r="I20" i="87"/>
  <c r="J20" i="87"/>
  <c r="M20" i="87"/>
  <c r="N20" i="87"/>
  <c r="R20" i="87"/>
  <c r="S20" i="87"/>
  <c r="T20" i="87"/>
  <c r="V20" i="87"/>
  <c r="W20" i="87"/>
  <c r="Y20" i="87"/>
  <c r="Z20" i="87"/>
  <c r="AA20" i="87"/>
  <c r="AB20" i="87"/>
  <c r="AC20" i="87"/>
  <c r="AD20" i="87"/>
  <c r="AE20" i="87"/>
  <c r="AF20" i="87"/>
  <c r="AG20" i="87"/>
  <c r="AH20" i="87"/>
  <c r="AI20" i="87"/>
  <c r="AK20" i="87"/>
  <c r="AL20" i="87"/>
  <c r="L4" i="13"/>
  <c r="M4" i="13" s="1"/>
  <c r="N4" i="13" s="1"/>
  <c r="O4" i="13" s="1"/>
  <c r="K6" i="13"/>
  <c r="H31" i="87" s="1"/>
  <c r="L6" i="13"/>
  <c r="I31" i="87" s="1"/>
  <c r="AO6" i="13"/>
  <c r="AL31" i="87" s="1"/>
  <c r="E74" i="72"/>
  <c r="E77" i="72"/>
  <c r="K77" i="72"/>
  <c r="G54" i="74"/>
  <c r="E54" i="74"/>
  <c r="G53" i="74"/>
  <c r="E53" i="74"/>
  <c r="I53" i="74"/>
  <c r="I54" i="74"/>
  <c r="L54" i="74"/>
  <c r="L56" i="74" s="1"/>
  <c r="L53" i="74"/>
  <c r="I221" i="13"/>
  <c r="J37" i="86"/>
  <c r="E19" i="71"/>
  <c r="G19" i="71" s="1"/>
  <c r="E20" i="89"/>
  <c r="E22" i="89" s="1"/>
  <c r="D35" i="78"/>
  <c r="D33" i="78"/>
  <c r="D31" i="78"/>
  <c r="G21" i="115"/>
  <c r="G23" i="115" s="1"/>
  <c r="F21" i="115"/>
  <c r="F23" i="115"/>
  <c r="E21" i="115"/>
  <c r="E23" i="115" s="1"/>
  <c r="D21" i="115"/>
  <c r="D23" i="115" s="1"/>
  <c r="G20" i="115"/>
  <c r="G22" i="115" s="1"/>
  <c r="F20" i="115"/>
  <c r="F22" i="115" s="1"/>
  <c r="E20" i="115"/>
  <c r="E22" i="115" s="1"/>
  <c r="D20" i="115"/>
  <c r="D22" i="115" s="1"/>
  <c r="C24" i="115"/>
  <c r="G18" i="115"/>
  <c r="F18" i="115"/>
  <c r="C18" i="115"/>
  <c r="H17" i="115"/>
  <c r="H15" i="115"/>
  <c r="H14" i="115"/>
  <c r="H12" i="115"/>
  <c r="H11" i="115"/>
  <c r="H10" i="115"/>
  <c r="H9" i="115"/>
  <c r="H8" i="115"/>
  <c r="Q6" i="13"/>
  <c r="E13" i="115" s="1"/>
  <c r="D35" i="103"/>
  <c r="C35" i="103"/>
  <c r="B35" i="103"/>
  <c r="G23" i="85"/>
  <c r="G24" i="85" s="1"/>
  <c r="I36" i="85"/>
  <c r="I29" i="85"/>
  <c r="I44" i="85"/>
  <c r="I33" i="85"/>
  <c r="I43" i="85"/>
  <c r="I37" i="85"/>
  <c r="I31" i="85"/>
  <c r="H20" i="87"/>
  <c r="AB6" i="13"/>
  <c r="Y31" i="87" s="1"/>
  <c r="H31" i="81"/>
  <c r="N24" i="81"/>
  <c r="G25" i="80" s="1"/>
  <c r="I25" i="80" s="1"/>
  <c r="N16" i="81"/>
  <c r="G17" i="80" s="1"/>
  <c r="I17" i="80" s="1"/>
  <c r="G17" i="76" s="1"/>
  <c r="A12" i="81"/>
  <c r="A14" i="81" s="1"/>
  <c r="A16" i="81" s="1"/>
  <c r="A18" i="81" s="1"/>
  <c r="A20" i="81" s="1"/>
  <c r="A22" i="81" s="1"/>
  <c r="A24" i="81" s="1"/>
  <c r="A26" i="81" s="1"/>
  <c r="A27" i="81" s="1"/>
  <c r="A29" i="81" s="1"/>
  <c r="A31" i="81" s="1"/>
  <c r="A33" i="81" s="1"/>
  <c r="A35" i="81" s="1"/>
  <c r="A37" i="81" s="1"/>
  <c r="D8" i="78"/>
  <c r="P6" i="59"/>
  <c r="K46" i="78" s="1"/>
  <c r="C27" i="39"/>
  <c r="F25" i="39"/>
  <c r="F24" i="39"/>
  <c r="F23" i="39"/>
  <c r="F22" i="39"/>
  <c r="F21" i="39"/>
  <c r="F20" i="39"/>
  <c r="F19" i="39"/>
  <c r="M6" i="59"/>
  <c r="H46" i="78" s="1"/>
  <c r="AH6" i="13"/>
  <c r="AE31" i="87" s="1"/>
  <c r="P11" i="84"/>
  <c r="C4" i="67"/>
  <c r="C5" i="67"/>
  <c r="F48" i="59"/>
  <c r="F47" i="59"/>
  <c r="D49" i="67" s="1"/>
  <c r="F46" i="59"/>
  <c r="F45" i="59"/>
  <c r="D47" i="67" s="1"/>
  <c r="F44" i="59"/>
  <c r="F43" i="59"/>
  <c r="D45" i="67" s="1"/>
  <c r="F42" i="59"/>
  <c r="D44" i="67" s="1"/>
  <c r="F41" i="59"/>
  <c r="D43" i="67" s="1"/>
  <c r="F40" i="59"/>
  <c r="D42" i="67" s="1"/>
  <c r="F39" i="59"/>
  <c r="D39" i="45" s="1"/>
  <c r="F35" i="59"/>
  <c r="D36" i="67" s="1"/>
  <c r="F34" i="59"/>
  <c r="F33" i="59"/>
  <c r="D34" i="67" s="1"/>
  <c r="F32" i="59"/>
  <c r="F31" i="59"/>
  <c r="D32" i="67" s="1"/>
  <c r="F30" i="59"/>
  <c r="F29" i="59"/>
  <c r="D30" i="67" s="1"/>
  <c r="F28" i="59"/>
  <c r="F27" i="59"/>
  <c r="F26" i="59"/>
  <c r="D27" i="67" s="1"/>
  <c r="F25" i="59"/>
  <c r="D26" i="67" s="1"/>
  <c r="F24" i="59"/>
  <c r="F20" i="59"/>
  <c r="D20" i="67" s="1"/>
  <c r="F19" i="59"/>
  <c r="F18" i="59"/>
  <c r="F17" i="59"/>
  <c r="F16" i="59"/>
  <c r="D16" i="67" s="1"/>
  <c r="F12" i="59"/>
  <c r="D11" i="67" s="1"/>
  <c r="F40" i="46"/>
  <c r="F41" i="46"/>
  <c r="F42" i="46"/>
  <c r="E55" i="83" s="1"/>
  <c r="F43" i="46"/>
  <c r="D43" i="45" s="1"/>
  <c r="F44" i="46"/>
  <c r="E57" i="83" s="1"/>
  <c r="F45" i="46"/>
  <c r="F46" i="46"/>
  <c r="E59" i="83" s="1"/>
  <c r="F47" i="46"/>
  <c r="D47" i="45" s="1"/>
  <c r="F48" i="46"/>
  <c r="E61" i="83" s="1"/>
  <c r="F92" i="46"/>
  <c r="F93" i="46"/>
  <c r="F94" i="46"/>
  <c r="F95" i="46"/>
  <c r="F96" i="46"/>
  <c r="F97" i="46"/>
  <c r="F98" i="46"/>
  <c r="F99" i="46"/>
  <c r="I60" i="83" s="1"/>
  <c r="F100" i="46"/>
  <c r="I61" i="83" s="1"/>
  <c r="F91" i="46"/>
  <c r="I52" i="83" s="1"/>
  <c r="F76" i="46"/>
  <c r="I24" i="83" s="1"/>
  <c r="F77" i="46"/>
  <c r="F78" i="46"/>
  <c r="F79" i="46"/>
  <c r="F80" i="46"/>
  <c r="I28" i="83" s="1"/>
  <c r="F81" i="46"/>
  <c r="I29" i="83" s="1"/>
  <c r="F82" i="46"/>
  <c r="F83" i="46"/>
  <c r="I31" i="83" s="1"/>
  <c r="F84" i="46"/>
  <c r="F85" i="46"/>
  <c r="I33" i="83" s="1"/>
  <c r="F86" i="46"/>
  <c r="I34" i="83" s="1"/>
  <c r="F75" i="46"/>
  <c r="I23" i="83" s="1"/>
  <c r="F67" i="46"/>
  <c r="D67" i="45" s="1"/>
  <c r="F68" i="46"/>
  <c r="I18" i="83" s="1"/>
  <c r="F69" i="46"/>
  <c r="F70" i="46"/>
  <c r="I20" i="83" s="1"/>
  <c r="F66" i="46"/>
  <c r="I16" i="83" s="1"/>
  <c r="F61" i="46"/>
  <c r="I13" i="83" s="1"/>
  <c r="F60" i="46"/>
  <c r="F60" i="59"/>
  <c r="E10" i="67" s="1"/>
  <c r="F39" i="46"/>
  <c r="E52" i="83" s="1"/>
  <c r="F25" i="46"/>
  <c r="D25" i="45" s="1"/>
  <c r="F26" i="46"/>
  <c r="D26" i="45" s="1"/>
  <c r="F27" i="46"/>
  <c r="D27" i="45" s="1"/>
  <c r="F28" i="46"/>
  <c r="E27" i="83" s="1"/>
  <c r="F29" i="46"/>
  <c r="E28" i="83" s="1"/>
  <c r="G28" i="83" s="1"/>
  <c r="F28" i="83" s="1"/>
  <c r="F30" i="46"/>
  <c r="F31" i="46"/>
  <c r="E30" i="83" s="1"/>
  <c r="F32" i="46"/>
  <c r="F33" i="46"/>
  <c r="F34" i="46"/>
  <c r="F35" i="46"/>
  <c r="F24" i="46"/>
  <c r="F17" i="46"/>
  <c r="F18" i="46"/>
  <c r="E18" i="83" s="1"/>
  <c r="F19" i="46"/>
  <c r="E19" i="83" s="1"/>
  <c r="G19" i="83" s="1"/>
  <c r="F19" i="83" s="1"/>
  <c r="F20" i="46"/>
  <c r="E20" i="83" s="1"/>
  <c r="F16" i="46"/>
  <c r="F12" i="46"/>
  <c r="F11" i="46"/>
  <c r="F13" i="39"/>
  <c r="F12" i="39"/>
  <c r="F11" i="39"/>
  <c r="F10" i="39"/>
  <c r="G132" i="59"/>
  <c r="AJ25" i="13"/>
  <c r="AJ6" i="13" s="1"/>
  <c r="AG31" i="87" s="1"/>
  <c r="H190" i="13"/>
  <c r="H186" i="13"/>
  <c r="H181" i="13"/>
  <c r="H182" i="13" s="1"/>
  <c r="H183" i="13" s="1"/>
  <c r="H177" i="13"/>
  <c r="A130" i="61"/>
  <c r="A131" i="61"/>
  <c r="H88" i="13"/>
  <c r="H156" i="13"/>
  <c r="H141" i="13"/>
  <c r="H142" i="13" s="1"/>
  <c r="H87" i="13"/>
  <c r="H11" i="13"/>
  <c r="C11" i="116" s="1"/>
  <c r="I11" i="116" s="1"/>
  <c r="F11" i="60"/>
  <c r="F10" i="60"/>
  <c r="E11" i="60"/>
  <c r="D11" i="60"/>
  <c r="F12" i="60"/>
  <c r="I42" i="85"/>
  <c r="I35" i="85"/>
  <c r="I32" i="85"/>
  <c r="I30" i="85"/>
  <c r="I28" i="85"/>
  <c r="I27" i="85"/>
  <c r="I26" i="85"/>
  <c r="I25" i="85"/>
  <c r="I24" i="85"/>
  <c r="I23" i="85"/>
  <c r="A3" i="110"/>
  <c r="E11" i="107"/>
  <c r="G8" i="107"/>
  <c r="A5" i="107"/>
  <c r="E9" i="93"/>
  <c r="A5" i="93"/>
  <c r="E11" i="75"/>
  <c r="G11" i="75"/>
  <c r="K9" i="75"/>
  <c r="I9" i="75"/>
  <c r="E9" i="75"/>
  <c r="A6" i="75"/>
  <c r="A5" i="75"/>
  <c r="A5" i="74"/>
  <c r="A6" i="73"/>
  <c r="A5" i="73"/>
  <c r="E23" i="85"/>
  <c r="E25" i="85"/>
  <c r="E24" i="85"/>
  <c r="A10" i="111"/>
  <c r="A13" i="111"/>
  <c r="A16" i="111"/>
  <c r="A19" i="111"/>
  <c r="A22" i="111"/>
  <c r="A27" i="111"/>
  <c r="A36" i="111"/>
  <c r="A42" i="111"/>
  <c r="A49" i="111"/>
  <c r="A54" i="111"/>
  <c r="A60" i="111"/>
  <c r="A66" i="111"/>
  <c r="A72" i="111"/>
  <c r="A78" i="111"/>
  <c r="A83" i="111"/>
  <c r="A88" i="111"/>
  <c r="A93" i="111"/>
  <c r="A96" i="111"/>
  <c r="A98" i="111"/>
  <c r="A100" i="111"/>
  <c r="C9" i="110"/>
  <c r="I34" i="85" s="1"/>
  <c r="L13" i="84"/>
  <c r="X13" i="84" s="1"/>
  <c r="A13" i="84"/>
  <c r="A15" i="84" s="1"/>
  <c r="H19" i="87"/>
  <c r="H18" i="87"/>
  <c r="H13" i="87"/>
  <c r="H12" i="87"/>
  <c r="H11" i="87"/>
  <c r="H8" i="87"/>
  <c r="D29" i="78"/>
  <c r="D26" i="78"/>
  <c r="D22" i="78"/>
  <c r="D20" i="78"/>
  <c r="D12" i="78"/>
  <c r="D10" i="78"/>
  <c r="I54" i="107"/>
  <c r="G54" i="107"/>
  <c r="E39" i="108"/>
  <c r="A15" i="107"/>
  <c r="K14" i="107"/>
  <c r="I55" i="106"/>
  <c r="G55" i="106"/>
  <c r="E54" i="106"/>
  <c r="A23" i="106"/>
  <c r="A26" i="106" s="1"/>
  <c r="A27" i="106" s="1"/>
  <c r="K19" i="106"/>
  <c r="A16" i="106"/>
  <c r="K13" i="106"/>
  <c r="G20" i="93"/>
  <c r="E20" i="93"/>
  <c r="A20" i="93"/>
  <c r="K16" i="93"/>
  <c r="A15" i="93"/>
  <c r="K15" i="93" s="1"/>
  <c r="K14" i="93"/>
  <c r="A14" i="93"/>
  <c r="K13" i="93"/>
  <c r="G16" i="93"/>
  <c r="G27" i="92"/>
  <c r="M20" i="92"/>
  <c r="K20" i="92"/>
  <c r="E20" i="92"/>
  <c r="G19" i="92"/>
  <c r="G20" i="92" s="1"/>
  <c r="G16" i="92"/>
  <c r="E16" i="92"/>
  <c r="E22" i="92" s="1"/>
  <c r="E30" i="92" s="1"/>
  <c r="K15" i="92"/>
  <c r="K14" i="92"/>
  <c r="A14" i="92"/>
  <c r="A15" i="92" s="1"/>
  <c r="Q13" i="92"/>
  <c r="K13" i="92"/>
  <c r="A15" i="91"/>
  <c r="M14" i="91"/>
  <c r="E16" i="91"/>
  <c r="E56" i="90"/>
  <c r="E58" i="90" s="1"/>
  <c r="E52" i="90"/>
  <c r="E62" i="90" s="1"/>
  <c r="E23" i="90"/>
  <c r="A15" i="90"/>
  <c r="A16" i="90" s="1"/>
  <c r="M14" i="90"/>
  <c r="K17" i="73"/>
  <c r="E15" i="89"/>
  <c r="A5" i="89"/>
  <c r="A12" i="87"/>
  <c r="A13" i="87" s="1"/>
  <c r="A14" i="87" s="1"/>
  <c r="A17" i="87" s="1"/>
  <c r="A18" i="87" s="1"/>
  <c r="A19" i="87" s="1"/>
  <c r="A20" i="87" s="1"/>
  <c r="A21" i="87" s="1"/>
  <c r="A23" i="87" s="1"/>
  <c r="J77" i="86"/>
  <c r="J38" i="86"/>
  <c r="J36" i="86"/>
  <c r="J35" i="86"/>
  <c r="J29" i="86"/>
  <c r="J28" i="86"/>
  <c r="J22" i="86"/>
  <c r="M72" i="72" s="1"/>
  <c r="J21" i="86"/>
  <c r="J20" i="86"/>
  <c r="J15" i="86"/>
  <c r="J14" i="86"/>
  <c r="A14" i="86"/>
  <c r="A15" i="86" s="1"/>
  <c r="A16" i="86" s="1"/>
  <c r="P13" i="86"/>
  <c r="J13" i="86"/>
  <c r="A5" i="86"/>
  <c r="A15" i="85"/>
  <c r="A16" i="85" s="1"/>
  <c r="X11" i="84"/>
  <c r="K11" i="84"/>
  <c r="A5" i="84"/>
  <c r="A13" i="83"/>
  <c r="A14" i="83" s="1"/>
  <c r="H12" i="83"/>
  <c r="A5" i="83"/>
  <c r="A46" i="83" s="1"/>
  <c r="A13" i="80"/>
  <c r="K13" i="80" s="1"/>
  <c r="K11" i="80"/>
  <c r="A5" i="80"/>
  <c r="A12" i="78"/>
  <c r="A14" i="78" s="1"/>
  <c r="A16" i="78" s="1"/>
  <c r="A18" i="78" s="1"/>
  <c r="A20" i="78" s="1"/>
  <c r="A22" i="78" s="1"/>
  <c r="A24" i="78" s="1"/>
  <c r="A26" i="78" s="1"/>
  <c r="A27" i="78" s="1"/>
  <c r="A29" i="78" s="1"/>
  <c r="A31" i="78" s="1"/>
  <c r="A33" i="78" s="1"/>
  <c r="A35" i="78" s="1"/>
  <c r="A37" i="78" s="1"/>
  <c r="A13" i="77"/>
  <c r="A15" i="77" s="1"/>
  <c r="K11" i="77"/>
  <c r="A5" i="77"/>
  <c r="A13" i="76"/>
  <c r="I13" i="76" s="1"/>
  <c r="I11" i="76"/>
  <c r="A5" i="76"/>
  <c r="M18" i="75"/>
  <c r="K18" i="75"/>
  <c r="I18" i="75"/>
  <c r="G18" i="75"/>
  <c r="E18" i="75"/>
  <c r="M16" i="75"/>
  <c r="K16" i="75"/>
  <c r="I16" i="75"/>
  <c r="G16" i="75"/>
  <c r="E16" i="75"/>
  <c r="A16" i="75"/>
  <c r="A18" i="75" s="1"/>
  <c r="A20" i="75" s="1"/>
  <c r="O20" i="75" s="1"/>
  <c r="O14" i="75"/>
  <c r="M14" i="75"/>
  <c r="K14" i="75"/>
  <c r="I14" i="75"/>
  <c r="G14" i="75"/>
  <c r="E14" i="75"/>
  <c r="G56" i="74"/>
  <c r="E56" i="74"/>
  <c r="E23" i="74"/>
  <c r="E21" i="74"/>
  <c r="E19" i="74"/>
  <c r="E17" i="74"/>
  <c r="E15" i="74"/>
  <c r="A15" i="74"/>
  <c r="A17" i="74" s="1"/>
  <c r="K13" i="74"/>
  <c r="E13" i="74"/>
  <c r="G81" i="73"/>
  <c r="I79" i="73"/>
  <c r="I81" i="73"/>
  <c r="E81" i="73"/>
  <c r="K31" i="73"/>
  <c r="I31" i="73"/>
  <c r="C27" i="73"/>
  <c r="I19" i="73"/>
  <c r="G19" i="73"/>
  <c r="E19" i="73"/>
  <c r="I16" i="73"/>
  <c r="I17" i="73" s="1"/>
  <c r="G16" i="73"/>
  <c r="G17" i="73" s="1"/>
  <c r="E16" i="73"/>
  <c r="E17" i="73" s="1"/>
  <c r="A16" i="73"/>
  <c r="A17" i="73" s="1"/>
  <c r="O15" i="73"/>
  <c r="M80" i="72"/>
  <c r="M81" i="72" s="1"/>
  <c r="I80" i="72"/>
  <c r="G80" i="72"/>
  <c r="M77" i="72"/>
  <c r="M78" i="72" s="1"/>
  <c r="I77" i="72"/>
  <c r="G77" i="72"/>
  <c r="G78" i="72" s="1"/>
  <c r="T72" i="72"/>
  <c r="R72" i="72"/>
  <c r="I72" i="72"/>
  <c r="G72" i="72"/>
  <c r="O22" i="72"/>
  <c r="T73" i="72" s="1"/>
  <c r="M22" i="72"/>
  <c r="R73" i="72" s="1"/>
  <c r="G22" i="72"/>
  <c r="I73" i="72" s="1"/>
  <c r="E22" i="72"/>
  <c r="G73" i="72" s="1"/>
  <c r="O19" i="72"/>
  <c r="M19" i="72"/>
  <c r="G19" i="72"/>
  <c r="E19" i="72"/>
  <c r="O16" i="72"/>
  <c r="M16" i="72"/>
  <c r="G16" i="72"/>
  <c r="E16" i="72"/>
  <c r="A16" i="72"/>
  <c r="Q16" i="72" s="1"/>
  <c r="Q15" i="72"/>
  <c r="O15" i="72"/>
  <c r="M15" i="72"/>
  <c r="G15" i="72"/>
  <c r="E15" i="72"/>
  <c r="A13" i="71"/>
  <c r="A15" i="71" s="1"/>
  <c r="K11" i="71"/>
  <c r="AN6" i="13"/>
  <c r="AK31" i="87" s="1"/>
  <c r="K74" i="72"/>
  <c r="N24" i="78"/>
  <c r="G25" i="77" s="1"/>
  <c r="I25" i="77" s="1"/>
  <c r="E25" i="76" s="1"/>
  <c r="E16" i="93"/>
  <c r="E22" i="93" s="1"/>
  <c r="E30" i="93" s="1"/>
  <c r="E34" i="93" s="1"/>
  <c r="A17" i="106"/>
  <c r="K16" i="106"/>
  <c r="A16" i="91"/>
  <c r="M16" i="91"/>
  <c r="M15" i="91"/>
  <c r="A18" i="106"/>
  <c r="K18" i="106" s="1"/>
  <c r="K17" i="106"/>
  <c r="A107" i="70"/>
  <c r="A106" i="70"/>
  <c r="A105" i="70"/>
  <c r="A104" i="70"/>
  <c r="A103" i="70"/>
  <c r="A102" i="70"/>
  <c r="A101" i="70"/>
  <c r="A100" i="70"/>
  <c r="A99" i="70"/>
  <c r="A98" i="70"/>
  <c r="A97" i="70"/>
  <c r="A96" i="70"/>
  <c r="A95" i="70"/>
  <c r="A94" i="70"/>
  <c r="A93" i="70"/>
  <c r="A92" i="70"/>
  <c r="A91" i="70"/>
  <c r="A90" i="70"/>
  <c r="A89" i="70"/>
  <c r="A88" i="70"/>
  <c r="A87" i="70"/>
  <c r="A86" i="70"/>
  <c r="A85" i="70"/>
  <c r="A84" i="70"/>
  <c r="A83" i="70"/>
  <c r="A82" i="70"/>
  <c r="A81" i="70"/>
  <c r="A80" i="70"/>
  <c r="A79" i="70"/>
  <c r="A78" i="70"/>
  <c r="A77" i="70"/>
  <c r="A76" i="70"/>
  <c r="A75" i="70"/>
  <c r="A74" i="70"/>
  <c r="A73" i="70"/>
  <c r="A72" i="70"/>
  <c r="A71" i="70"/>
  <c r="A70" i="70"/>
  <c r="A69" i="70"/>
  <c r="A68" i="70"/>
  <c r="A67" i="70"/>
  <c r="A66" i="70"/>
  <c r="A65" i="70"/>
  <c r="A64" i="70"/>
  <c r="A63" i="70"/>
  <c r="A62" i="70"/>
  <c r="A61" i="70"/>
  <c r="A60" i="70"/>
  <c r="A59" i="70"/>
  <c r="A58" i="70"/>
  <c r="A57" i="70"/>
  <c r="A56" i="70"/>
  <c r="A55" i="70"/>
  <c r="A54" i="70"/>
  <c r="A53" i="70"/>
  <c r="A52" i="70"/>
  <c r="A51" i="70"/>
  <c r="A50" i="70"/>
  <c r="A49" i="70"/>
  <c r="A48" i="70"/>
  <c r="A47" i="70"/>
  <c r="A46" i="70"/>
  <c r="A45" i="70"/>
  <c r="A44" i="70"/>
  <c r="A43" i="70"/>
  <c r="A42" i="70"/>
  <c r="A41" i="70"/>
  <c r="A40" i="70"/>
  <c r="A39" i="70"/>
  <c r="A38" i="70"/>
  <c r="A37" i="70"/>
  <c r="A36" i="70"/>
  <c r="A35" i="70"/>
  <c r="A34" i="70"/>
  <c r="A33" i="70"/>
  <c r="A32" i="70"/>
  <c r="A31" i="70"/>
  <c r="A30" i="70"/>
  <c r="A29" i="70"/>
  <c r="A28" i="70"/>
  <c r="A27" i="70"/>
  <c r="A26" i="70"/>
  <c r="A25" i="70"/>
  <c r="A24" i="70"/>
  <c r="A23" i="70"/>
  <c r="A22" i="70"/>
  <c r="A21" i="70"/>
  <c r="A20" i="70"/>
  <c r="A19" i="70"/>
  <c r="A18" i="70"/>
  <c r="A17" i="70"/>
  <c r="A16" i="70"/>
  <c r="A15" i="70"/>
  <c r="A14" i="70"/>
  <c r="A13" i="70"/>
  <c r="A12" i="70"/>
  <c r="F96" i="59"/>
  <c r="E46" i="67" s="1"/>
  <c r="I164" i="13"/>
  <c r="J164" i="13" s="1"/>
  <c r="J165" i="13" s="1"/>
  <c r="H163" i="13"/>
  <c r="J163" i="13" s="1"/>
  <c r="F97" i="59"/>
  <c r="E47" i="67" s="1"/>
  <c r="F77" i="59"/>
  <c r="F66" i="59"/>
  <c r="F78" i="59"/>
  <c r="D78" i="45" s="1"/>
  <c r="F86" i="59"/>
  <c r="F98" i="59"/>
  <c r="E48" i="67" s="1"/>
  <c r="F11" i="59"/>
  <c r="F67" i="59"/>
  <c r="E17" i="67" s="1"/>
  <c r="F79" i="59"/>
  <c r="E29" i="67" s="1"/>
  <c r="F91" i="59"/>
  <c r="F99" i="59"/>
  <c r="E49" i="67" s="1"/>
  <c r="F68" i="59"/>
  <c r="E18" i="67" s="1"/>
  <c r="F80" i="59"/>
  <c r="E30" i="67" s="1"/>
  <c r="F92" i="59"/>
  <c r="E42" i="67" s="1"/>
  <c r="F100" i="59"/>
  <c r="F61" i="59"/>
  <c r="D61" i="45" s="1"/>
  <c r="F69" i="59"/>
  <c r="F81" i="59"/>
  <c r="D81" i="45" s="1"/>
  <c r="F93" i="59"/>
  <c r="E43" i="67" s="1"/>
  <c r="F70" i="59"/>
  <c r="E20" i="67" s="1"/>
  <c r="F82" i="59"/>
  <c r="E32" i="67" s="1"/>
  <c r="F94" i="59"/>
  <c r="E44" i="67" s="1"/>
  <c r="F85" i="59"/>
  <c r="E35" i="67" s="1"/>
  <c r="F75" i="59"/>
  <c r="F83" i="59"/>
  <c r="F95" i="59"/>
  <c r="E45" i="67" s="1"/>
  <c r="F76" i="59"/>
  <c r="F84" i="59"/>
  <c r="E34" i="67" s="1"/>
  <c r="U6" i="13"/>
  <c r="R31" i="87" s="1"/>
  <c r="G58" i="69"/>
  <c r="C36" i="69"/>
  <c r="E36" i="69"/>
  <c r="Z6" i="13"/>
  <c r="W31" i="87" s="1"/>
  <c r="A23" i="83"/>
  <c r="H23" i="83" s="1"/>
  <c r="H21" i="83"/>
  <c r="A24" i="83"/>
  <c r="A25" i="83" s="1"/>
  <c r="E12" i="83"/>
  <c r="I53" i="83"/>
  <c r="F119" i="46"/>
  <c r="D119" i="45" s="1"/>
  <c r="AL25" i="13"/>
  <c r="AL6" i="13" s="1"/>
  <c r="AI31" i="87" s="1"/>
  <c r="I89" i="13"/>
  <c r="H89" i="13"/>
  <c r="H125" i="13"/>
  <c r="H124" i="13"/>
  <c r="H123" i="13"/>
  <c r="H122" i="13"/>
  <c r="H121" i="13"/>
  <c r="H120" i="13"/>
  <c r="H118" i="13"/>
  <c r="H117" i="13"/>
  <c r="H116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97" i="13"/>
  <c r="H96" i="13"/>
  <c r="H95" i="13"/>
  <c r="H94" i="13"/>
  <c r="H93" i="13"/>
  <c r="F115" i="61"/>
  <c r="N6" i="59"/>
  <c r="I46" i="78" s="1"/>
  <c r="K31" i="81"/>
  <c r="D20" i="81"/>
  <c r="I11" i="46"/>
  <c r="G31" i="81"/>
  <c r="G7" i="45"/>
  <c r="Q6" i="59"/>
  <c r="L46" i="78" s="1"/>
  <c r="I7" i="46"/>
  <c r="D8" i="81" s="1"/>
  <c r="C4" i="45"/>
  <c r="F69" i="66"/>
  <c r="H77" i="13"/>
  <c r="H76" i="13"/>
  <c r="I77" i="13"/>
  <c r="I75" i="13"/>
  <c r="H75" i="13"/>
  <c r="H30" i="13"/>
  <c r="J30" i="13" s="1"/>
  <c r="D15" i="60"/>
  <c r="E15" i="60"/>
  <c r="E10" i="60"/>
  <c r="D10" i="60"/>
  <c r="H178" i="13"/>
  <c r="G4" i="13"/>
  <c r="E4" i="46"/>
  <c r="E4" i="59"/>
  <c r="H16" i="13"/>
  <c r="A137" i="61"/>
  <c r="A136" i="61"/>
  <c r="A135" i="61"/>
  <c r="A133" i="61"/>
  <c r="A132" i="61"/>
  <c r="F7" i="45"/>
  <c r="D7" i="45"/>
  <c r="H7" i="46"/>
  <c r="F7" i="46"/>
  <c r="F139" i="59"/>
  <c r="F140" i="59"/>
  <c r="F138" i="59"/>
  <c r="F126" i="59"/>
  <c r="E23" i="77" s="1"/>
  <c r="F125" i="59"/>
  <c r="F121" i="59"/>
  <c r="F120" i="59"/>
  <c r="F120" i="46" s="1"/>
  <c r="F121" i="46"/>
  <c r="H147" i="13"/>
  <c r="H146" i="13"/>
  <c r="H137" i="13"/>
  <c r="H136" i="13"/>
  <c r="H145" i="13"/>
  <c r="H79" i="13"/>
  <c r="H78" i="13"/>
  <c r="H74" i="13"/>
  <c r="H73" i="13"/>
  <c r="H72" i="13"/>
  <c r="H71" i="13"/>
  <c r="H70" i="13"/>
  <c r="H69" i="13"/>
  <c r="H68" i="13"/>
  <c r="H63" i="13"/>
  <c r="H62" i="13"/>
  <c r="H61" i="13"/>
  <c r="H58" i="13"/>
  <c r="H57" i="13"/>
  <c r="H56" i="13"/>
  <c r="H55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26" i="13"/>
  <c r="H25" i="13"/>
  <c r="D23" i="111" s="1"/>
  <c r="D25" i="111" s="1"/>
  <c r="E44" i="85" s="1"/>
  <c r="H18" i="13"/>
  <c r="H17" i="13"/>
  <c r="H10" i="13"/>
  <c r="C9" i="116" s="1"/>
  <c r="I9" i="116" s="1"/>
  <c r="L9" i="116" s="1"/>
  <c r="H12" i="13"/>
  <c r="C12" i="116" s="1"/>
  <c r="H33" i="13"/>
  <c r="I147" i="13"/>
  <c r="I141" i="13"/>
  <c r="I137" i="13"/>
  <c r="I125" i="13"/>
  <c r="I124" i="13"/>
  <c r="I123" i="13"/>
  <c r="I122" i="13"/>
  <c r="I121" i="13"/>
  <c r="I120" i="13"/>
  <c r="I118" i="13"/>
  <c r="I117" i="13"/>
  <c r="I116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97" i="13"/>
  <c r="I96" i="13"/>
  <c r="I95" i="13"/>
  <c r="I94" i="13"/>
  <c r="I93" i="13"/>
  <c r="I88" i="13"/>
  <c r="I87" i="13"/>
  <c r="I79" i="13"/>
  <c r="I78" i="13"/>
  <c r="I76" i="13"/>
  <c r="I74" i="13"/>
  <c r="I73" i="13"/>
  <c r="I72" i="13"/>
  <c r="I71" i="13"/>
  <c r="I70" i="13"/>
  <c r="I69" i="13"/>
  <c r="I64" i="13"/>
  <c r="J64" i="13" s="1"/>
  <c r="I63" i="13"/>
  <c r="I62" i="13"/>
  <c r="I61" i="13"/>
  <c r="I60" i="13"/>
  <c r="J60" i="13" s="1"/>
  <c r="I59" i="13"/>
  <c r="J59" i="13" s="1"/>
  <c r="I57" i="13"/>
  <c r="I56" i="13"/>
  <c r="I55" i="13"/>
  <c r="I51" i="13"/>
  <c r="I50" i="13"/>
  <c r="I49" i="13"/>
  <c r="I48" i="13"/>
  <c r="I46" i="13"/>
  <c r="I45" i="13"/>
  <c r="I43" i="13"/>
  <c r="I42" i="13"/>
  <c r="I41" i="13"/>
  <c r="I40" i="13"/>
  <c r="I39" i="13"/>
  <c r="I37" i="13"/>
  <c r="I32" i="13"/>
  <c r="J32" i="13" s="1"/>
  <c r="I31" i="13"/>
  <c r="J31" i="13" s="1"/>
  <c r="I26" i="13"/>
  <c r="I17" i="13"/>
  <c r="Y6" i="13"/>
  <c r="V31" i="87" s="1"/>
  <c r="W6" i="13"/>
  <c r="T31" i="87" s="1"/>
  <c r="V6" i="13"/>
  <c r="S31" i="87" s="1"/>
  <c r="F15" i="60"/>
  <c r="E12" i="60"/>
  <c r="D12" i="60"/>
  <c r="G93" i="45"/>
  <c r="G133" i="59"/>
  <c r="F70" i="66"/>
  <c r="H133" i="59"/>
  <c r="H185" i="13"/>
  <c r="D79" i="59"/>
  <c r="D80" i="59" s="1"/>
  <c r="D81" i="59" s="1"/>
  <c r="D82" i="59" s="1"/>
  <c r="D83" i="59" s="1"/>
  <c r="D84" i="59" s="1"/>
  <c r="D76" i="59"/>
  <c r="D77" i="59" s="1"/>
  <c r="D28" i="59"/>
  <c r="D29" i="59" s="1"/>
  <c r="D30" i="59" s="1"/>
  <c r="D31" i="59" s="1"/>
  <c r="D32" i="59" s="1"/>
  <c r="D33" i="59" s="1"/>
  <c r="D25" i="59"/>
  <c r="D26" i="59" s="1"/>
  <c r="G75" i="59"/>
  <c r="J4" i="46"/>
  <c r="G140" i="59"/>
  <c r="G139" i="59"/>
  <c r="G138" i="59"/>
  <c r="G134" i="59"/>
  <c r="G126" i="59"/>
  <c r="G125" i="59"/>
  <c r="G121" i="59"/>
  <c r="R15" i="84" s="1"/>
  <c r="G120" i="59"/>
  <c r="R13" i="84" s="1"/>
  <c r="G101" i="59"/>
  <c r="H101" i="59" s="1"/>
  <c r="G100" i="59"/>
  <c r="G99" i="59"/>
  <c r="G98" i="59"/>
  <c r="G97" i="59"/>
  <c r="G96" i="59"/>
  <c r="G95" i="59"/>
  <c r="G94" i="59"/>
  <c r="G93" i="59"/>
  <c r="G92" i="59"/>
  <c r="G91" i="59"/>
  <c r="G87" i="59"/>
  <c r="H87" i="59" s="1"/>
  <c r="G86" i="59"/>
  <c r="G85" i="59"/>
  <c r="G84" i="59"/>
  <c r="G83" i="59"/>
  <c r="G82" i="59"/>
  <c r="G81" i="59"/>
  <c r="G80" i="59"/>
  <c r="G79" i="59"/>
  <c r="G78" i="59"/>
  <c r="G77" i="59"/>
  <c r="G76" i="59"/>
  <c r="G71" i="59"/>
  <c r="H71" i="59" s="1"/>
  <c r="G70" i="59"/>
  <c r="G69" i="59"/>
  <c r="G68" i="59"/>
  <c r="G67" i="59"/>
  <c r="G66" i="59"/>
  <c r="G62" i="59"/>
  <c r="H62" i="59" s="1"/>
  <c r="G61" i="59"/>
  <c r="G60" i="59"/>
  <c r="G48" i="59"/>
  <c r="G47" i="59"/>
  <c r="G46" i="59"/>
  <c r="G45" i="59"/>
  <c r="H45" i="59" s="1"/>
  <c r="G44" i="59"/>
  <c r="G43" i="59"/>
  <c r="H43" i="59" s="1"/>
  <c r="G42" i="59"/>
  <c r="G41" i="59"/>
  <c r="G40" i="59"/>
  <c r="G39" i="59"/>
  <c r="G35" i="59"/>
  <c r="G34" i="59"/>
  <c r="G33" i="59"/>
  <c r="G32" i="59"/>
  <c r="G31" i="59"/>
  <c r="H31" i="59" s="1"/>
  <c r="G30" i="59"/>
  <c r="G29" i="59"/>
  <c r="G28" i="59"/>
  <c r="H28" i="59" s="1"/>
  <c r="G27" i="59"/>
  <c r="G26" i="59"/>
  <c r="G25" i="59"/>
  <c r="G24" i="59"/>
  <c r="G20" i="59"/>
  <c r="G19" i="59"/>
  <c r="G18" i="59"/>
  <c r="G17" i="59"/>
  <c r="H17" i="59" s="1"/>
  <c r="G16" i="59"/>
  <c r="H16" i="59" s="1"/>
  <c r="G12" i="59"/>
  <c r="G11" i="59"/>
  <c r="I6" i="59"/>
  <c r="D46" i="78" s="1"/>
  <c r="O6" i="59"/>
  <c r="J46" i="78" s="1"/>
  <c r="K4" i="46"/>
  <c r="L4" i="46" s="1"/>
  <c r="M4" i="46" s="1"/>
  <c r="N4" i="46" s="1"/>
  <c r="O4" i="46" s="1"/>
  <c r="Q4" i="46" s="1"/>
  <c r="R4" i="46" s="1"/>
  <c r="H4" i="45"/>
  <c r="I4" i="45"/>
  <c r="J4" i="45"/>
  <c r="K4" i="45" s="1"/>
  <c r="L4" i="45" s="1"/>
  <c r="M4" i="45" s="1"/>
  <c r="O4" i="45" s="1"/>
  <c r="P4" i="45" s="1"/>
  <c r="I54" i="83"/>
  <c r="I55" i="83"/>
  <c r="E41" i="67"/>
  <c r="I26" i="83"/>
  <c r="E33" i="67"/>
  <c r="I32" i="83"/>
  <c r="I27" i="83"/>
  <c r="I19" i="83"/>
  <c r="E19" i="67"/>
  <c r="E16" i="67"/>
  <c r="E32" i="83"/>
  <c r="D28" i="67"/>
  <c r="E29" i="83"/>
  <c r="G29" i="83" s="1"/>
  <c r="F29" i="83" s="1"/>
  <c r="E33" i="83"/>
  <c r="D29" i="67"/>
  <c r="E16" i="83"/>
  <c r="K6" i="59"/>
  <c r="F46" i="78" s="1"/>
  <c r="E23" i="83"/>
  <c r="H12" i="67"/>
  <c r="I51" i="67"/>
  <c r="I37" i="67"/>
  <c r="I21" i="67"/>
  <c r="H51" i="67"/>
  <c r="H37" i="67"/>
  <c r="H21" i="67"/>
  <c r="H53" i="67"/>
  <c r="I136" i="13"/>
  <c r="AI6" i="13"/>
  <c r="AF31" i="87" s="1"/>
  <c r="I68" i="13"/>
  <c r="I47" i="13"/>
  <c r="I44" i="13"/>
  <c r="I38" i="13"/>
  <c r="I33" i="13"/>
  <c r="P6" i="13"/>
  <c r="M31" i="87" s="1"/>
  <c r="M6" i="13"/>
  <c r="J31" i="87" s="1"/>
  <c r="I58" i="13"/>
  <c r="AK6" i="13"/>
  <c r="AH31" i="87" s="1"/>
  <c r="I80" i="13"/>
  <c r="J80" i="13" s="1"/>
  <c r="F16" i="39"/>
  <c r="F15" i="39"/>
  <c r="F14" i="39"/>
  <c r="F27" i="39"/>
  <c r="F30" i="39"/>
  <c r="B79" i="45"/>
  <c r="B80" i="45" s="1"/>
  <c r="B81" i="45" s="1"/>
  <c r="B82" i="45" s="1"/>
  <c r="B83" i="45" s="1"/>
  <c r="B84" i="45" s="1"/>
  <c r="B76" i="45"/>
  <c r="B77" i="45" s="1"/>
  <c r="B28" i="45"/>
  <c r="B29" i="45" s="1"/>
  <c r="B30" i="45" s="1"/>
  <c r="B31" i="45" s="1"/>
  <c r="B32" i="45" s="1"/>
  <c r="B33" i="45" s="1"/>
  <c r="B25" i="45"/>
  <c r="B26" i="45" s="1"/>
  <c r="D79" i="46"/>
  <c r="D80" i="46" s="1"/>
  <c r="D81" i="46" s="1"/>
  <c r="D82" i="46" s="1"/>
  <c r="D83" i="46" s="1"/>
  <c r="D84" i="46" s="1"/>
  <c r="D76" i="46"/>
  <c r="D77" i="46" s="1"/>
  <c r="D28" i="46"/>
  <c r="D29" i="46" s="1"/>
  <c r="D30" i="46" s="1"/>
  <c r="D31" i="46" s="1"/>
  <c r="D32" i="46" s="1"/>
  <c r="D33" i="46" s="1"/>
  <c r="D25" i="46"/>
  <c r="D26" i="46" s="1"/>
  <c r="I12" i="67"/>
  <c r="I53" i="67"/>
  <c r="F21" i="46" l="1"/>
  <c r="F53" i="46" s="1"/>
  <c r="D42" i="45"/>
  <c r="G18" i="83"/>
  <c r="F18" i="83" s="1"/>
  <c r="F36" i="46"/>
  <c r="F54" i="46" s="1"/>
  <c r="L35" i="81"/>
  <c r="E24" i="83"/>
  <c r="F13" i="46"/>
  <c r="F52" i="46" s="1"/>
  <c r="G24" i="83"/>
  <c r="F24" i="83" s="1"/>
  <c r="E26" i="83"/>
  <c r="G32" i="83"/>
  <c r="F32" i="83" s="1"/>
  <c r="G13" i="59"/>
  <c r="G52" i="59" s="1"/>
  <c r="H33" i="59"/>
  <c r="H79" i="59"/>
  <c r="H25" i="59"/>
  <c r="H94" i="59"/>
  <c r="H20" i="59"/>
  <c r="H138" i="59"/>
  <c r="H26" i="59"/>
  <c r="H67" i="59"/>
  <c r="D94" i="45"/>
  <c r="D79" i="45"/>
  <c r="D41" i="67"/>
  <c r="G41" i="67" s="1"/>
  <c r="H69" i="59"/>
  <c r="D69" i="45"/>
  <c r="A15" i="80"/>
  <c r="K15" i="80" s="1"/>
  <c r="H13" i="83"/>
  <c r="A22" i="90"/>
  <c r="M16" i="90"/>
  <c r="I19" i="71"/>
  <c r="M15" i="90"/>
  <c r="Q15" i="92"/>
  <c r="A16" i="92"/>
  <c r="Q14" i="92"/>
  <c r="E25" i="83"/>
  <c r="E17" i="83"/>
  <c r="G17" i="83" s="1"/>
  <c r="F17" i="83" s="1"/>
  <c r="J126" i="45"/>
  <c r="D20" i="45"/>
  <c r="I17" i="83"/>
  <c r="D99" i="45"/>
  <c r="G55" i="83"/>
  <c r="F55" i="83" s="1"/>
  <c r="G23" i="83"/>
  <c r="F23" i="83" s="1"/>
  <c r="D44" i="45"/>
  <c r="D22" i="81"/>
  <c r="G52" i="83"/>
  <c r="F52" i="83" s="1"/>
  <c r="H35" i="81"/>
  <c r="G26" i="83"/>
  <c r="F26" i="83" s="1"/>
  <c r="G33" i="83"/>
  <c r="F33" i="83" s="1"/>
  <c r="D46" i="45"/>
  <c r="E60" i="83"/>
  <c r="G60" i="83" s="1"/>
  <c r="F60" i="83" s="1"/>
  <c r="E20" i="81"/>
  <c r="D17" i="45"/>
  <c r="F72" i="46"/>
  <c r="F106" i="46" s="1"/>
  <c r="F113" i="46" s="1"/>
  <c r="D86" i="45"/>
  <c r="F88" i="46"/>
  <c r="F107" i="46" s="1"/>
  <c r="F114" i="46" s="1"/>
  <c r="G61" i="83"/>
  <c r="F61" i="83" s="1"/>
  <c r="D18" i="45"/>
  <c r="N14" i="87"/>
  <c r="K33" i="81"/>
  <c r="D48" i="67"/>
  <c r="F48" i="67" s="1"/>
  <c r="F122" i="59"/>
  <c r="H91" i="59"/>
  <c r="G127" i="59"/>
  <c r="F49" i="67"/>
  <c r="D46" i="67"/>
  <c r="F46" i="67" s="1"/>
  <c r="F44" i="67"/>
  <c r="H97" i="59"/>
  <c r="F32" i="67"/>
  <c r="E32" i="77"/>
  <c r="F36" i="59"/>
  <c r="F54" i="59" s="1"/>
  <c r="G132" i="45"/>
  <c r="E14" i="78"/>
  <c r="E18" i="78" s="1"/>
  <c r="F34" i="67"/>
  <c r="D85" i="45"/>
  <c r="H83" i="59"/>
  <c r="H98" i="59"/>
  <c r="H30" i="59"/>
  <c r="D16" i="45"/>
  <c r="H95" i="59"/>
  <c r="D17" i="67"/>
  <c r="G17" i="67" s="1"/>
  <c r="E11" i="67"/>
  <c r="G11" i="67" s="1"/>
  <c r="H27" i="59"/>
  <c r="H42" i="59"/>
  <c r="H84" i="59"/>
  <c r="H99" i="59"/>
  <c r="D98" i="45"/>
  <c r="G10" i="81"/>
  <c r="F63" i="59"/>
  <c r="F105" i="59" s="1"/>
  <c r="H85" i="59"/>
  <c r="H44" i="59"/>
  <c r="G45" i="67"/>
  <c r="J73" i="13"/>
  <c r="D55" i="111" s="1"/>
  <c r="D58" i="111" s="1"/>
  <c r="E20" i="85" s="1"/>
  <c r="D102" i="111"/>
  <c r="J37" i="13"/>
  <c r="G20" i="67"/>
  <c r="G42" i="67"/>
  <c r="L27" i="78"/>
  <c r="G35" i="81"/>
  <c r="F43" i="67"/>
  <c r="O6" i="46"/>
  <c r="J45" i="81" s="1"/>
  <c r="I20" i="81"/>
  <c r="K22" i="81"/>
  <c r="G30" i="67"/>
  <c r="M126" i="45"/>
  <c r="D16" i="115"/>
  <c r="H16" i="115" s="1"/>
  <c r="H32" i="59"/>
  <c r="G72" i="59"/>
  <c r="G106" i="59" s="1"/>
  <c r="G61" i="46"/>
  <c r="H61" i="46" s="1"/>
  <c r="D26" i="81"/>
  <c r="H158" i="13"/>
  <c r="H159" i="13" s="1"/>
  <c r="J18" i="13"/>
  <c r="I19" i="13"/>
  <c r="J141" i="13"/>
  <c r="J142" i="13" s="1"/>
  <c r="C12" i="69" s="1"/>
  <c r="E12" i="69" s="1"/>
  <c r="F45" i="67"/>
  <c r="F42" i="67"/>
  <c r="I10" i="81"/>
  <c r="H70" i="59"/>
  <c r="H96" i="59"/>
  <c r="D33" i="67"/>
  <c r="G33" i="67" s="1"/>
  <c r="E28" i="67"/>
  <c r="F28" i="67" s="1"/>
  <c r="H81" i="59"/>
  <c r="H100" i="59"/>
  <c r="F88" i="59"/>
  <c r="D30" i="45"/>
  <c r="H40" i="59"/>
  <c r="J133" i="45"/>
  <c r="N125" i="45"/>
  <c r="D84" i="45"/>
  <c r="D70" i="45"/>
  <c r="F21" i="59"/>
  <c r="F53" i="59" s="1"/>
  <c r="G47" i="67"/>
  <c r="E31" i="67"/>
  <c r="G21" i="59"/>
  <c r="G53" i="59" s="1"/>
  <c r="G113" i="59" s="1"/>
  <c r="H48" i="59"/>
  <c r="H82" i="59"/>
  <c r="D91" i="45"/>
  <c r="D29" i="45"/>
  <c r="E36" i="67"/>
  <c r="F36" i="67" s="1"/>
  <c r="H41" i="59"/>
  <c r="H60" i="59"/>
  <c r="H140" i="59"/>
  <c r="P13" i="84"/>
  <c r="V13" i="84" s="1"/>
  <c r="G13" i="84" s="1"/>
  <c r="G49" i="67"/>
  <c r="F20" i="81"/>
  <c r="F30" i="67"/>
  <c r="M6" i="46"/>
  <c r="H45" i="81" s="1"/>
  <c r="F49" i="59"/>
  <c r="F55" i="59" s="1"/>
  <c r="F72" i="59"/>
  <c r="F106" i="59" s="1"/>
  <c r="D18" i="67"/>
  <c r="G18" i="67" s="1"/>
  <c r="D31" i="67"/>
  <c r="G31" i="67" s="1"/>
  <c r="H78" i="59"/>
  <c r="H86" i="59"/>
  <c r="D14" i="78"/>
  <c r="D18" i="78" s="1"/>
  <c r="D12" i="45"/>
  <c r="H26" i="81"/>
  <c r="O126" i="45"/>
  <c r="M14" i="78"/>
  <c r="M18" i="78" s="1"/>
  <c r="L14" i="78"/>
  <c r="L18" i="78" s="1"/>
  <c r="M12" i="81"/>
  <c r="K29" i="81"/>
  <c r="G28" i="67"/>
  <c r="G44" i="67"/>
  <c r="H35" i="59"/>
  <c r="H46" i="59"/>
  <c r="H68" i="59"/>
  <c r="H80" i="59"/>
  <c r="D68" i="45"/>
  <c r="K126" i="45"/>
  <c r="J137" i="13"/>
  <c r="D89" i="111" s="1"/>
  <c r="D91" i="111" s="1"/>
  <c r="E34" i="85" s="1"/>
  <c r="J121" i="13"/>
  <c r="H179" i="13"/>
  <c r="H188" i="13" s="1"/>
  <c r="H192" i="13" s="1"/>
  <c r="J63" i="13"/>
  <c r="J48" i="13"/>
  <c r="J116" i="13"/>
  <c r="J43" i="13"/>
  <c r="J106" i="13"/>
  <c r="J58" i="13"/>
  <c r="D8" i="111" s="1"/>
  <c r="E14" i="85" s="1"/>
  <c r="L14" i="85" s="1"/>
  <c r="J26" i="13"/>
  <c r="J109" i="13"/>
  <c r="J95" i="13"/>
  <c r="I235" i="13"/>
  <c r="J55" i="13"/>
  <c r="J72" i="13"/>
  <c r="D50" i="111" s="1"/>
  <c r="D52" i="111" s="1"/>
  <c r="E19" i="85" s="1"/>
  <c r="J104" i="13"/>
  <c r="J61" i="13"/>
  <c r="J79" i="13"/>
  <c r="J105" i="13"/>
  <c r="J76" i="13"/>
  <c r="D67" i="111" s="1"/>
  <c r="D70" i="111" s="1"/>
  <c r="E30" i="85" s="1"/>
  <c r="J123" i="13"/>
  <c r="J93" i="13"/>
  <c r="J124" i="13"/>
  <c r="J49" i="13"/>
  <c r="J94" i="13"/>
  <c r="J125" i="13"/>
  <c r="J110" i="13"/>
  <c r="G134" i="45"/>
  <c r="G141" i="59"/>
  <c r="J122" i="13"/>
  <c r="J117" i="13"/>
  <c r="J111" i="13"/>
  <c r="J102" i="13"/>
  <c r="J96" i="13"/>
  <c r="L29" i="81"/>
  <c r="O120" i="45"/>
  <c r="I126" i="45"/>
  <c r="F22" i="81"/>
  <c r="I134" i="45"/>
  <c r="F35" i="81"/>
  <c r="F26" i="81"/>
  <c r="I138" i="45"/>
  <c r="G27" i="83"/>
  <c r="F27" i="83" s="1"/>
  <c r="H29" i="81"/>
  <c r="D12" i="81"/>
  <c r="E45" i="45"/>
  <c r="F56" i="46"/>
  <c r="E34" i="83"/>
  <c r="G34" i="83" s="1"/>
  <c r="F34" i="83" s="1"/>
  <c r="D35" i="45"/>
  <c r="I59" i="83"/>
  <c r="G59" i="83" s="1"/>
  <c r="F59" i="83" s="1"/>
  <c r="D97" i="45"/>
  <c r="I58" i="83"/>
  <c r="H11" i="45"/>
  <c r="E10" i="81"/>
  <c r="H43" i="45"/>
  <c r="E43" i="45" s="1"/>
  <c r="F43" i="45" s="1"/>
  <c r="G43" i="46"/>
  <c r="H43" i="46" s="1"/>
  <c r="H12" i="81"/>
  <c r="H119" i="45"/>
  <c r="E29" i="81"/>
  <c r="I29" i="81"/>
  <c r="L120" i="45"/>
  <c r="O125" i="45"/>
  <c r="L20" i="81"/>
  <c r="O133" i="45"/>
  <c r="L33" i="81"/>
  <c r="E56" i="83"/>
  <c r="D60" i="45"/>
  <c r="D63" i="45" s="1"/>
  <c r="D105" i="45" s="1"/>
  <c r="I12" i="83"/>
  <c r="I14" i="83" s="1"/>
  <c r="F63" i="46"/>
  <c r="F105" i="46" s="1"/>
  <c r="I30" i="83"/>
  <c r="G30" i="83" s="1"/>
  <c r="F30" i="83" s="1"/>
  <c r="D82" i="45"/>
  <c r="D96" i="45"/>
  <c r="I57" i="83"/>
  <c r="G57" i="83" s="1"/>
  <c r="F57" i="83" s="1"/>
  <c r="E54" i="83"/>
  <c r="G54" i="83" s="1"/>
  <c r="F54" i="83" s="1"/>
  <c r="D41" i="45"/>
  <c r="E16" i="45"/>
  <c r="G19" i="46"/>
  <c r="H19" i="46" s="1"/>
  <c r="I19" i="45"/>
  <c r="E19" i="45" s="1"/>
  <c r="G47" i="46"/>
  <c r="H47" i="46" s="1"/>
  <c r="G79" i="46"/>
  <c r="H79" i="46" s="1"/>
  <c r="I79" i="45"/>
  <c r="E79" i="45" s="1"/>
  <c r="D83" i="45"/>
  <c r="I26" i="81"/>
  <c r="M33" i="81"/>
  <c r="E31" i="83"/>
  <c r="G31" i="83" s="1"/>
  <c r="F31" i="83" s="1"/>
  <c r="D32" i="45"/>
  <c r="I56" i="83"/>
  <c r="D95" i="45"/>
  <c r="E53" i="83"/>
  <c r="G53" i="83" s="1"/>
  <c r="F53" i="83" s="1"/>
  <c r="F49" i="46"/>
  <c r="F55" i="46" s="1"/>
  <c r="D40" i="45"/>
  <c r="J6" i="46"/>
  <c r="E45" i="81" s="1"/>
  <c r="G20" i="81"/>
  <c r="J125" i="45"/>
  <c r="M134" i="45"/>
  <c r="J35" i="81"/>
  <c r="G20" i="83"/>
  <c r="F20" i="83" s="1"/>
  <c r="G16" i="83"/>
  <c r="D31" i="45"/>
  <c r="G11" i="45"/>
  <c r="G11" i="46"/>
  <c r="H11" i="46" s="1"/>
  <c r="E13" i="83"/>
  <c r="F102" i="46"/>
  <c r="F108" i="46" s="1"/>
  <c r="F33" i="81"/>
  <c r="I133" i="45"/>
  <c r="D33" i="45"/>
  <c r="D48" i="45"/>
  <c r="L126" i="45"/>
  <c r="D80" i="45"/>
  <c r="D28" i="45"/>
  <c r="I25" i="83"/>
  <c r="G12" i="81"/>
  <c r="G132" i="46"/>
  <c r="J61" i="45"/>
  <c r="I35" i="81"/>
  <c r="E32" i="80"/>
  <c r="D132" i="45"/>
  <c r="D45" i="45"/>
  <c r="E58" i="83"/>
  <c r="E97" i="45"/>
  <c r="I6" i="46"/>
  <c r="D45" i="81" s="1"/>
  <c r="G32" i="46"/>
  <c r="H32" i="46" s="1"/>
  <c r="G41" i="46"/>
  <c r="H41" i="46" s="1"/>
  <c r="M26" i="81"/>
  <c r="P138" i="45"/>
  <c r="K26" i="81"/>
  <c r="D34" i="45"/>
  <c r="F107" i="59"/>
  <c r="G29" i="67"/>
  <c r="F29" i="67"/>
  <c r="E42" i="45"/>
  <c r="F42" i="45" s="1"/>
  <c r="H125" i="59"/>
  <c r="E21" i="77"/>
  <c r="F127" i="59"/>
  <c r="N31" i="81"/>
  <c r="G32" i="80" s="1"/>
  <c r="G133" i="46"/>
  <c r="H133" i="46" s="1"/>
  <c r="G133" i="45"/>
  <c r="D33" i="81"/>
  <c r="I76" i="45"/>
  <c r="E76" i="45" s="1"/>
  <c r="G76" i="46"/>
  <c r="H76" i="46" s="1"/>
  <c r="M133" i="45"/>
  <c r="J33" i="81"/>
  <c r="E36" i="77"/>
  <c r="H134" i="59"/>
  <c r="F134" i="46"/>
  <c r="F41" i="67"/>
  <c r="G42" i="46"/>
  <c r="H42" i="46" s="1"/>
  <c r="D10" i="67"/>
  <c r="F10" i="67" s="1"/>
  <c r="D11" i="45"/>
  <c r="H11" i="59"/>
  <c r="F13" i="59"/>
  <c r="F52" i="59" s="1"/>
  <c r="D93" i="45"/>
  <c r="G83" i="46"/>
  <c r="H83" i="46" s="1"/>
  <c r="I83" i="45"/>
  <c r="E83" i="45" s="1"/>
  <c r="L41" i="45"/>
  <c r="E41" i="45" s="1"/>
  <c r="G92" i="46"/>
  <c r="H92" i="46" s="1"/>
  <c r="G126" i="46"/>
  <c r="G93" i="46"/>
  <c r="H93" i="46" s="1"/>
  <c r="G45" i="46"/>
  <c r="H45" i="46" s="1"/>
  <c r="I47" i="45"/>
  <c r="E47" i="45" s="1"/>
  <c r="F47" i="45" s="1"/>
  <c r="H18" i="59"/>
  <c r="G48" i="67"/>
  <c r="F17" i="67"/>
  <c r="E20" i="45"/>
  <c r="F20" i="45" s="1"/>
  <c r="G68" i="46"/>
  <c r="H68" i="46" s="1"/>
  <c r="G99" i="46"/>
  <c r="H99" i="46" s="1"/>
  <c r="G20" i="46"/>
  <c r="H20" i="46" s="1"/>
  <c r="F16" i="67"/>
  <c r="E21" i="67"/>
  <c r="E66" i="45"/>
  <c r="G43" i="67"/>
  <c r="I60" i="45"/>
  <c r="F12" i="81"/>
  <c r="J120" i="45"/>
  <c r="G29" i="81"/>
  <c r="P134" i="45"/>
  <c r="M35" i="81"/>
  <c r="E34" i="77"/>
  <c r="F135" i="59"/>
  <c r="D133" i="45"/>
  <c r="I32" i="45"/>
  <c r="E32" i="45" s="1"/>
  <c r="F10" i="81"/>
  <c r="K6" i="46"/>
  <c r="F45" i="81" s="1"/>
  <c r="L60" i="45"/>
  <c r="I12" i="81"/>
  <c r="G91" i="46"/>
  <c r="H91" i="46" s="1"/>
  <c r="I91" i="45"/>
  <c r="E91" i="45" s="1"/>
  <c r="I95" i="45"/>
  <c r="E95" i="45" s="1"/>
  <c r="G95" i="46"/>
  <c r="H95" i="46" s="1"/>
  <c r="D35" i="67"/>
  <c r="G35" i="67" s="1"/>
  <c r="G34" i="67"/>
  <c r="F47" i="67"/>
  <c r="M22" i="81"/>
  <c r="E26" i="67"/>
  <c r="D76" i="45"/>
  <c r="E50" i="67"/>
  <c r="E51" i="67" s="1"/>
  <c r="D100" i="45"/>
  <c r="H66" i="59"/>
  <c r="D66" i="45"/>
  <c r="D25" i="67"/>
  <c r="D24" i="45"/>
  <c r="F29" i="81"/>
  <c r="M125" i="45"/>
  <c r="E34" i="80"/>
  <c r="D75" i="45"/>
  <c r="E25" i="67"/>
  <c r="G121" i="46"/>
  <c r="H121" i="46" s="1"/>
  <c r="D29" i="81"/>
  <c r="G121" i="45"/>
  <c r="E121" i="45" s="1"/>
  <c r="G97" i="46"/>
  <c r="H97" i="46" s="1"/>
  <c r="G134" i="46"/>
  <c r="G70" i="45"/>
  <c r="E70" i="45" s="1"/>
  <c r="G70" i="46"/>
  <c r="H70" i="46" s="1"/>
  <c r="N6" i="46"/>
  <c r="I45" i="81" s="1"/>
  <c r="L12" i="45"/>
  <c r="E12" i="45" s="1"/>
  <c r="L12" i="81"/>
  <c r="O61" i="45"/>
  <c r="G67" i="46"/>
  <c r="H67" i="46" s="1"/>
  <c r="I67" i="45"/>
  <c r="E67" i="45" s="1"/>
  <c r="F67" i="45" s="1"/>
  <c r="M20" i="81"/>
  <c r="P125" i="45"/>
  <c r="J139" i="45"/>
  <c r="E139" i="45" s="1"/>
  <c r="G26" i="81"/>
  <c r="G139" i="46"/>
  <c r="D19" i="67"/>
  <c r="H19" i="59"/>
  <c r="D19" i="45"/>
  <c r="D10" i="81"/>
  <c r="F102" i="59"/>
  <c r="F108" i="59" s="1"/>
  <c r="F115" i="59" s="1"/>
  <c r="D92" i="45"/>
  <c r="H92" i="59"/>
  <c r="E27" i="67"/>
  <c r="D77" i="45"/>
  <c r="H132" i="59"/>
  <c r="G135" i="59"/>
  <c r="H34" i="59"/>
  <c r="E68" i="45"/>
  <c r="M10" i="81"/>
  <c r="P11" i="45"/>
  <c r="G17" i="46"/>
  <c r="H17" i="46" s="1"/>
  <c r="J17" i="45"/>
  <c r="E17" i="45" s="1"/>
  <c r="G120" i="46"/>
  <c r="H120" i="46" s="1"/>
  <c r="H20" i="81"/>
  <c r="K125" i="45"/>
  <c r="G125" i="46"/>
  <c r="K35" i="81"/>
  <c r="N134" i="45"/>
  <c r="K133" i="45"/>
  <c r="P61" i="45"/>
  <c r="E27" i="45"/>
  <c r="F27" i="45" s="1"/>
  <c r="G63" i="59"/>
  <c r="G105" i="59" s="1"/>
  <c r="G112" i="59" s="1"/>
  <c r="D121" i="45"/>
  <c r="H121" i="59"/>
  <c r="G33" i="46"/>
  <c r="H33" i="46" s="1"/>
  <c r="H61" i="59"/>
  <c r="L26" i="81"/>
  <c r="E26" i="45"/>
  <c r="F26" i="45" s="1"/>
  <c r="E30" i="45"/>
  <c r="E34" i="45"/>
  <c r="G46" i="46"/>
  <c r="H46" i="46" s="1"/>
  <c r="H60" i="45"/>
  <c r="E12" i="81"/>
  <c r="E78" i="45"/>
  <c r="F78" i="45" s="1"/>
  <c r="G82" i="46"/>
  <c r="H82" i="46" s="1"/>
  <c r="H84" i="45"/>
  <c r="E84" i="45" s="1"/>
  <c r="G84" i="46"/>
  <c r="H84" i="46" s="1"/>
  <c r="E86" i="45"/>
  <c r="G94" i="46"/>
  <c r="H94" i="46" s="1"/>
  <c r="G98" i="46"/>
  <c r="H98" i="46" s="1"/>
  <c r="N98" i="45"/>
  <c r="E98" i="45" s="1"/>
  <c r="L133" i="45"/>
  <c r="I33" i="81"/>
  <c r="N120" i="45"/>
  <c r="G69" i="46"/>
  <c r="H69" i="46" s="1"/>
  <c r="G69" i="45"/>
  <c r="E69" i="45" s="1"/>
  <c r="J11" i="45"/>
  <c r="L6" i="46"/>
  <c r="G45" i="81" s="1"/>
  <c r="H126" i="45"/>
  <c r="E22" i="81"/>
  <c r="E26" i="81"/>
  <c r="H138" i="45"/>
  <c r="G138" i="46"/>
  <c r="K11" i="45"/>
  <c r="H10" i="81"/>
  <c r="G18" i="46"/>
  <c r="H18" i="46" s="1"/>
  <c r="G24" i="46"/>
  <c r="H24" i="46" s="1"/>
  <c r="G28" i="46"/>
  <c r="H28" i="46" s="1"/>
  <c r="E40" i="45"/>
  <c r="E44" i="45"/>
  <c r="E48" i="45"/>
  <c r="E80" i="45"/>
  <c r="E92" i="45"/>
  <c r="E96" i="45"/>
  <c r="E100" i="45"/>
  <c r="H132" i="45"/>
  <c r="N33" i="78"/>
  <c r="G34" i="77" s="1"/>
  <c r="G16" i="67"/>
  <c r="G32" i="67"/>
  <c r="D50" i="67"/>
  <c r="D51" i="67" s="1"/>
  <c r="G140" i="45"/>
  <c r="E140" i="45" s="1"/>
  <c r="G60" i="46"/>
  <c r="H60" i="46" s="1"/>
  <c r="G140" i="46"/>
  <c r="H134" i="45"/>
  <c r="H18" i="45"/>
  <c r="E18" i="45" s="1"/>
  <c r="M60" i="45"/>
  <c r="J12" i="81"/>
  <c r="E94" i="45"/>
  <c r="H75" i="59"/>
  <c r="F20" i="67"/>
  <c r="H29" i="59"/>
  <c r="G66" i="46"/>
  <c r="J10" i="81"/>
  <c r="J29" i="81"/>
  <c r="M119" i="45"/>
  <c r="E33" i="81"/>
  <c r="H133" i="45"/>
  <c r="G27" i="46"/>
  <c r="H27" i="46" s="1"/>
  <c r="G31" i="46"/>
  <c r="H31" i="46" s="1"/>
  <c r="G35" i="46"/>
  <c r="H35" i="46" s="1"/>
  <c r="G39" i="46"/>
  <c r="H39" i="46" s="1"/>
  <c r="E75" i="45"/>
  <c r="E99" i="45"/>
  <c r="H76" i="59"/>
  <c r="G40" i="46"/>
  <c r="H40" i="46" s="1"/>
  <c r="G16" i="46"/>
  <c r="Q6" i="46"/>
  <c r="L45" i="81" s="1"/>
  <c r="L10" i="81"/>
  <c r="J26" i="81"/>
  <c r="J27" i="81" s="1"/>
  <c r="O11" i="45"/>
  <c r="H14" i="78"/>
  <c r="H18" i="78" s="1"/>
  <c r="H24" i="59"/>
  <c r="H39" i="59"/>
  <c r="E27" i="78"/>
  <c r="H47" i="59"/>
  <c r="H77" i="59"/>
  <c r="E27" i="77"/>
  <c r="E28" i="77" s="1"/>
  <c r="E25" i="45"/>
  <c r="F25" i="45" s="1"/>
  <c r="E29" i="45"/>
  <c r="E33" i="45"/>
  <c r="E77" i="45"/>
  <c r="G81" i="46"/>
  <c r="H81" i="46" s="1"/>
  <c r="E85" i="45"/>
  <c r="F85" i="45" s="1"/>
  <c r="E93" i="45"/>
  <c r="J75" i="13"/>
  <c r="H138" i="13"/>
  <c r="J11" i="13"/>
  <c r="J47" i="13"/>
  <c r="J68" i="13"/>
  <c r="J112" i="13"/>
  <c r="H27" i="13"/>
  <c r="I181" i="13" s="1"/>
  <c r="J181" i="13" s="1"/>
  <c r="J41" i="13"/>
  <c r="J74" i="13"/>
  <c r="D61" i="111" s="1"/>
  <c r="D64" i="111" s="1"/>
  <c r="E29" i="85" s="1"/>
  <c r="J62" i="13"/>
  <c r="J136" i="13"/>
  <c r="J103" i="13"/>
  <c r="J118" i="13"/>
  <c r="H34" i="13"/>
  <c r="J51" i="13"/>
  <c r="J101" i="13"/>
  <c r="J89" i="13"/>
  <c r="AM19" i="87"/>
  <c r="L21" i="86" s="1"/>
  <c r="N21" i="86" s="1"/>
  <c r="V14" i="87"/>
  <c r="J44" i="13"/>
  <c r="J77" i="13"/>
  <c r="D73" i="111" s="1"/>
  <c r="D76" i="111" s="1"/>
  <c r="E31" i="85" s="1"/>
  <c r="Y21" i="87"/>
  <c r="G100" i="46"/>
  <c r="H100" i="46" s="1"/>
  <c r="G96" i="46"/>
  <c r="H96" i="46" s="1"/>
  <c r="G102" i="59"/>
  <c r="G108" i="59" s="1"/>
  <c r="H93" i="59"/>
  <c r="G86" i="46"/>
  <c r="H86" i="46" s="1"/>
  <c r="G77" i="46"/>
  <c r="H77" i="46" s="1"/>
  <c r="G85" i="46"/>
  <c r="H85" i="46" s="1"/>
  <c r="N81" i="45"/>
  <c r="E81" i="45" s="1"/>
  <c r="F81" i="45" s="1"/>
  <c r="G78" i="46"/>
  <c r="H78" i="46" s="1"/>
  <c r="G80" i="46"/>
  <c r="H80" i="46" s="1"/>
  <c r="N82" i="45"/>
  <c r="E82" i="45" s="1"/>
  <c r="G88" i="59"/>
  <c r="G107" i="59" s="1"/>
  <c r="G75" i="46"/>
  <c r="K12" i="81"/>
  <c r="G48" i="46"/>
  <c r="H48" i="46" s="1"/>
  <c r="N46" i="45"/>
  <c r="E46" i="45" s="1"/>
  <c r="G44" i="46"/>
  <c r="H44" i="46" s="1"/>
  <c r="N39" i="45"/>
  <c r="E39" i="45" s="1"/>
  <c r="G49" i="59"/>
  <c r="G55" i="59" s="1"/>
  <c r="N35" i="45"/>
  <c r="E35" i="45" s="1"/>
  <c r="N31" i="45"/>
  <c r="E31" i="45" s="1"/>
  <c r="G34" i="46"/>
  <c r="H34" i="46" s="1"/>
  <c r="G29" i="46"/>
  <c r="H29" i="46" s="1"/>
  <c r="G25" i="46"/>
  <c r="H25" i="46" s="1"/>
  <c r="G30" i="46"/>
  <c r="H30" i="46" s="1"/>
  <c r="G26" i="46"/>
  <c r="H26" i="46" s="1"/>
  <c r="N28" i="45"/>
  <c r="E28" i="45" s="1"/>
  <c r="G36" i="59"/>
  <c r="G54" i="59" s="1"/>
  <c r="N24" i="45"/>
  <c r="E24" i="45" s="1"/>
  <c r="P6" i="46"/>
  <c r="K45" i="81" s="1"/>
  <c r="H12" i="59"/>
  <c r="G12" i="46"/>
  <c r="K10" i="81"/>
  <c r="E30" i="77"/>
  <c r="H139" i="59"/>
  <c r="D120" i="45"/>
  <c r="F141" i="59"/>
  <c r="H120" i="59"/>
  <c r="P15" i="84"/>
  <c r="V15" i="84" s="1"/>
  <c r="E15" i="84" s="1"/>
  <c r="I15" i="84" s="1"/>
  <c r="F126" i="46"/>
  <c r="F125" i="46"/>
  <c r="H126" i="59"/>
  <c r="H127" i="59" s="1"/>
  <c r="F122" i="46"/>
  <c r="J39" i="13"/>
  <c r="J56" i="13"/>
  <c r="J42" i="13"/>
  <c r="J78" i="13"/>
  <c r="D79" i="111" s="1"/>
  <c r="D81" i="111" s="1"/>
  <c r="E32" i="85" s="1"/>
  <c r="H148" i="13"/>
  <c r="J50" i="13"/>
  <c r="I81" i="72"/>
  <c r="E25" i="71"/>
  <c r="I25" i="71" s="1"/>
  <c r="I21" i="87"/>
  <c r="AH21" i="87"/>
  <c r="A16" i="83"/>
  <c r="H16" i="83" s="1"/>
  <c r="H14" i="83"/>
  <c r="F16" i="83"/>
  <c r="H25" i="83"/>
  <c r="A26" i="83"/>
  <c r="H24" i="83"/>
  <c r="I21" i="83"/>
  <c r="O16" i="75"/>
  <c r="I56" i="74"/>
  <c r="I58" i="74" s="1"/>
  <c r="G15" i="74" s="1"/>
  <c r="G58" i="74"/>
  <c r="G13" i="74" s="1"/>
  <c r="A15" i="76"/>
  <c r="I15" i="76" s="1"/>
  <c r="D27" i="78"/>
  <c r="I27" i="78"/>
  <c r="I37" i="78" s="1"/>
  <c r="I47" i="78" s="1"/>
  <c r="N35" i="78"/>
  <c r="G36" i="77" s="1"/>
  <c r="N31" i="78"/>
  <c r="G32" i="77" s="1"/>
  <c r="K14" i="78"/>
  <c r="K18" i="78" s="1"/>
  <c r="J14" i="78"/>
  <c r="J18" i="78" s="1"/>
  <c r="K27" i="78"/>
  <c r="M27" i="78"/>
  <c r="J27" i="78"/>
  <c r="G27" i="78"/>
  <c r="G14" i="78"/>
  <c r="G18" i="78" s="1"/>
  <c r="N12" i="78"/>
  <c r="G13" i="77" s="1"/>
  <c r="N26" i="78"/>
  <c r="G27" i="77" s="1"/>
  <c r="F27" i="78"/>
  <c r="N10" i="78"/>
  <c r="H27" i="78"/>
  <c r="A17" i="80"/>
  <c r="A19" i="80" s="1"/>
  <c r="A21" i="80" s="1"/>
  <c r="A19" i="85"/>
  <c r="P14" i="86"/>
  <c r="R17" i="84"/>
  <c r="A17" i="84"/>
  <c r="K17" i="84" s="1"/>
  <c r="K15" i="84"/>
  <c r="K13" i="84"/>
  <c r="L15" i="84"/>
  <c r="P16" i="86"/>
  <c r="A19" i="86"/>
  <c r="P15" i="86"/>
  <c r="K19" i="80"/>
  <c r="G25" i="76"/>
  <c r="K17" i="80"/>
  <c r="N22" i="78"/>
  <c r="G23" i="77" s="1"/>
  <c r="I23" i="77" s="1"/>
  <c r="E23" i="76" s="1"/>
  <c r="F14" i="78"/>
  <c r="F18" i="78" s="1"/>
  <c r="N20" i="78"/>
  <c r="K15" i="77"/>
  <c r="A17" i="77"/>
  <c r="K17" i="77" s="1"/>
  <c r="K13" i="77"/>
  <c r="A17" i="76"/>
  <c r="A19" i="74"/>
  <c r="K17" i="74"/>
  <c r="K15" i="74"/>
  <c r="I20" i="73"/>
  <c r="O16" i="73"/>
  <c r="O18" i="75"/>
  <c r="G20" i="75"/>
  <c r="I20" i="75"/>
  <c r="E20" i="75"/>
  <c r="J30" i="86"/>
  <c r="I19" i="72" s="1"/>
  <c r="K19" i="72" s="1"/>
  <c r="J16" i="86"/>
  <c r="L54" i="86" s="1"/>
  <c r="J23" i="86"/>
  <c r="L55" i="86" s="1"/>
  <c r="J39" i="86"/>
  <c r="L58" i="86" s="1"/>
  <c r="E20" i="73"/>
  <c r="E24" i="73" s="1"/>
  <c r="I78" i="72"/>
  <c r="G20" i="73"/>
  <c r="G24" i="73" s="1"/>
  <c r="G31" i="73" s="1"/>
  <c r="G81" i="72"/>
  <c r="E17" i="72"/>
  <c r="E20" i="72" s="1"/>
  <c r="E24" i="72" s="1"/>
  <c r="G71" i="72" s="1"/>
  <c r="E35" i="72" s="1"/>
  <c r="A17" i="72"/>
  <c r="G17" i="72"/>
  <c r="G20" i="72" s="1"/>
  <c r="G24" i="72" s="1"/>
  <c r="I71" i="72" s="1"/>
  <c r="G32" i="72" s="1"/>
  <c r="O19" i="73"/>
  <c r="A19" i="73"/>
  <c r="O17" i="72"/>
  <c r="O20" i="72" s="1"/>
  <c r="O24" i="72" s="1"/>
  <c r="T71" i="72" s="1"/>
  <c r="T74" i="72" s="1"/>
  <c r="O37" i="72" s="1"/>
  <c r="A28" i="106"/>
  <c r="K27" i="106"/>
  <c r="E41" i="108"/>
  <c r="G25" i="85"/>
  <c r="G26" i="85" s="1"/>
  <c r="J24" i="85"/>
  <c r="K24" i="85" s="1"/>
  <c r="L24" i="85" s="1"/>
  <c r="J23" i="85"/>
  <c r="K23" i="85" s="1"/>
  <c r="L23" i="85" s="1"/>
  <c r="I138" i="13"/>
  <c r="I90" i="13"/>
  <c r="I129" i="13" s="1"/>
  <c r="U14" i="87"/>
  <c r="S14" i="87"/>
  <c r="J17" i="13"/>
  <c r="AE21" i="87"/>
  <c r="I52" i="13"/>
  <c r="I113" i="13"/>
  <c r="I131" i="13" s="1"/>
  <c r="I142" i="13"/>
  <c r="H81" i="13"/>
  <c r="AK21" i="87"/>
  <c r="AB21" i="87"/>
  <c r="AA21" i="87"/>
  <c r="R21" i="87"/>
  <c r="J45" i="13"/>
  <c r="H65" i="13"/>
  <c r="J70" i="13"/>
  <c r="J97" i="13"/>
  <c r="H113" i="13"/>
  <c r="H131" i="13" s="1"/>
  <c r="J120" i="13"/>
  <c r="J87" i="13"/>
  <c r="AE14" i="87"/>
  <c r="I81" i="13"/>
  <c r="J40" i="13"/>
  <c r="H52" i="13"/>
  <c r="J46" i="13"/>
  <c r="J57" i="13"/>
  <c r="J71" i="13"/>
  <c r="D43" i="111" s="1"/>
  <c r="D46" i="111" s="1"/>
  <c r="E28" i="85" s="1"/>
  <c r="V21" i="87"/>
  <c r="H19" i="13"/>
  <c r="J33" i="13"/>
  <c r="J34" i="13" s="1"/>
  <c r="D28" i="111" s="1"/>
  <c r="I25" i="13"/>
  <c r="G67" i="69"/>
  <c r="H90" i="13"/>
  <c r="H129" i="13" s="1"/>
  <c r="AA14" i="87"/>
  <c r="R14" i="87"/>
  <c r="AH14" i="87"/>
  <c r="Z14" i="87"/>
  <c r="AF21" i="87"/>
  <c r="I98" i="13"/>
  <c r="I130" i="13" s="1"/>
  <c r="S21" i="87"/>
  <c r="C47" i="69"/>
  <c r="I65" i="13"/>
  <c r="J107" i="13"/>
  <c r="J69" i="13"/>
  <c r="D37" i="111" s="1"/>
  <c r="D40" i="111" s="1"/>
  <c r="E27" i="85" s="1"/>
  <c r="J147" i="13"/>
  <c r="Y14" i="87"/>
  <c r="AM13" i="87"/>
  <c r="L15" i="86" s="1"/>
  <c r="N15" i="86" s="1"/>
  <c r="J14" i="87"/>
  <c r="P4" i="13"/>
  <c r="Q4" i="13" s="1"/>
  <c r="I14" i="87"/>
  <c r="AL14" i="87"/>
  <c r="AC14" i="87"/>
  <c r="AD21" i="87"/>
  <c r="T14" i="87"/>
  <c r="AK14" i="87"/>
  <c r="AI14" i="87"/>
  <c r="H21" i="87"/>
  <c r="W21" i="87"/>
  <c r="AB14" i="87"/>
  <c r="AM11" i="87"/>
  <c r="Z21" i="87"/>
  <c r="AG14" i="87"/>
  <c r="M14" i="87"/>
  <c r="AL21" i="87"/>
  <c r="W14" i="87"/>
  <c r="M21" i="87"/>
  <c r="AF14" i="87"/>
  <c r="J21" i="87"/>
  <c r="AD14" i="87"/>
  <c r="T21" i="87"/>
  <c r="AC21" i="87"/>
  <c r="I12" i="116"/>
  <c r="L12" i="116" s="1"/>
  <c r="I34" i="13"/>
  <c r="J38" i="13"/>
  <c r="J88" i="13"/>
  <c r="J12" i="13"/>
  <c r="H126" i="13"/>
  <c r="H132" i="13" s="1"/>
  <c r="C41" i="69"/>
  <c r="N21" i="87"/>
  <c r="J10" i="13"/>
  <c r="H13" i="13"/>
  <c r="J16" i="13"/>
  <c r="C13" i="116"/>
  <c r="AM12" i="87"/>
  <c r="L14" i="86" s="1"/>
  <c r="N14" i="86" s="1"/>
  <c r="J108" i="13"/>
  <c r="H98" i="13"/>
  <c r="H130" i="13" s="1"/>
  <c r="AG17" i="87"/>
  <c r="AG21" i="87" s="1"/>
  <c r="L11" i="116"/>
  <c r="AI17" i="87"/>
  <c r="AI21" i="87" s="1"/>
  <c r="H14" i="87"/>
  <c r="K20" i="73"/>
  <c r="R80" i="72" s="1"/>
  <c r="G22" i="92"/>
  <c r="I22" i="92" s="1"/>
  <c r="K16" i="92"/>
  <c r="K22" i="92" s="1"/>
  <c r="K30" i="92" s="1"/>
  <c r="K34" i="92" s="1"/>
  <c r="E34" i="92"/>
  <c r="I82" i="73"/>
  <c r="I83" i="73" s="1"/>
  <c r="M16" i="92"/>
  <c r="I16" i="92"/>
  <c r="A22" i="93"/>
  <c r="K20" i="93"/>
  <c r="K19" i="93"/>
  <c r="M17" i="72"/>
  <c r="M20" i="72" s="1"/>
  <c r="M24" i="72" s="1"/>
  <c r="R71" i="72" s="1"/>
  <c r="R74" i="72" s="1"/>
  <c r="M38" i="72" s="1"/>
  <c r="M20" i="75"/>
  <c r="K15" i="107"/>
  <c r="A16" i="107"/>
  <c r="K20" i="75"/>
  <c r="G24" i="115"/>
  <c r="G26" i="115" s="1"/>
  <c r="C26" i="115"/>
  <c r="H23" i="115"/>
  <c r="D24" i="115"/>
  <c r="H21" i="115"/>
  <c r="E24" i="115"/>
  <c r="F24" i="115"/>
  <c r="F26" i="115" s="1"/>
  <c r="D18" i="115"/>
  <c r="D26" i="115" s="1"/>
  <c r="H20" i="115"/>
  <c r="H22" i="115"/>
  <c r="G62" i="69"/>
  <c r="I223" i="13" s="1"/>
  <c r="A17" i="71"/>
  <c r="K15" i="71"/>
  <c r="K13" i="71"/>
  <c r="E43" i="71"/>
  <c r="G57" i="71" s="1"/>
  <c r="G15" i="91"/>
  <c r="G14" i="91"/>
  <c r="K25" i="73" s="1"/>
  <c r="G22" i="93"/>
  <c r="I16" i="93"/>
  <c r="E51" i="90"/>
  <c r="E22" i="90"/>
  <c r="E16" i="90"/>
  <c r="G15" i="90" s="1"/>
  <c r="I13" i="13"/>
  <c r="AM18" i="87"/>
  <c r="L20" i="86" s="1"/>
  <c r="N20" i="86" s="1"/>
  <c r="I126" i="13"/>
  <c r="I132" i="13" s="1"/>
  <c r="H13" i="115"/>
  <c r="E18" i="115"/>
  <c r="N31" i="87"/>
  <c r="L37" i="78" l="1"/>
  <c r="L47" i="78" s="1"/>
  <c r="E132" i="45"/>
  <c r="F94" i="45"/>
  <c r="F70" i="45"/>
  <c r="E21" i="83"/>
  <c r="F40" i="45"/>
  <c r="D14" i="81"/>
  <c r="D18" i="81" s="1"/>
  <c r="H27" i="81"/>
  <c r="G25" i="83"/>
  <c r="F25" i="83" s="1"/>
  <c r="G12" i="83"/>
  <c r="G14" i="83" s="1"/>
  <c r="H63" i="46"/>
  <c r="H105" i="46" s="1"/>
  <c r="F69" i="45"/>
  <c r="F46" i="45"/>
  <c r="F79" i="45"/>
  <c r="E26" i="73"/>
  <c r="E33" i="73" s="1"/>
  <c r="A17" i="83"/>
  <c r="K15" i="91"/>
  <c r="K33" i="73" s="1"/>
  <c r="K26" i="73"/>
  <c r="M22" i="90"/>
  <c r="A23" i="90"/>
  <c r="G30" i="92"/>
  <c r="A19" i="92"/>
  <c r="Q16" i="92"/>
  <c r="N23" i="87"/>
  <c r="F84" i="45"/>
  <c r="F16" i="45"/>
  <c r="F91" i="45"/>
  <c r="F76" i="45"/>
  <c r="D89" i="45"/>
  <c r="F18" i="45"/>
  <c r="D27" i="81"/>
  <c r="F17" i="45"/>
  <c r="I35" i="83"/>
  <c r="E62" i="83"/>
  <c r="G56" i="83"/>
  <c r="F56" i="83" s="1"/>
  <c r="F44" i="45"/>
  <c r="F99" i="45"/>
  <c r="F31" i="45"/>
  <c r="F86" i="45"/>
  <c r="G58" i="83"/>
  <c r="F58" i="83" s="1"/>
  <c r="L27" i="81"/>
  <c r="E14" i="81"/>
  <c r="E18" i="81" s="1"/>
  <c r="E37" i="78"/>
  <c r="E47" i="78" s="1"/>
  <c r="I32" i="77"/>
  <c r="E32" i="76" s="1"/>
  <c r="G46" i="67"/>
  <c r="I27" i="81"/>
  <c r="F11" i="67"/>
  <c r="E12" i="67"/>
  <c r="F98" i="45"/>
  <c r="F30" i="45"/>
  <c r="G14" i="81"/>
  <c r="G18" i="81" s="1"/>
  <c r="I14" i="81"/>
  <c r="I18" i="81" s="1"/>
  <c r="D21" i="45"/>
  <c r="D53" i="45" s="1"/>
  <c r="H18" i="115"/>
  <c r="C19" i="69" s="1"/>
  <c r="F132" i="45"/>
  <c r="F100" i="45"/>
  <c r="F80" i="45"/>
  <c r="E138" i="45"/>
  <c r="E141" i="45" s="1"/>
  <c r="F29" i="45"/>
  <c r="I34" i="77"/>
  <c r="E34" i="76" s="1"/>
  <c r="F32" i="45"/>
  <c r="E11" i="45"/>
  <c r="E13" i="45" s="1"/>
  <c r="E52" i="45" s="1"/>
  <c r="F33" i="45"/>
  <c r="K27" i="81"/>
  <c r="D93" i="111"/>
  <c r="E36" i="85" s="1"/>
  <c r="D37" i="78"/>
  <c r="D47" i="78" s="1"/>
  <c r="H63" i="59"/>
  <c r="H105" i="59" s="1"/>
  <c r="H36" i="59"/>
  <c r="H54" i="59" s="1"/>
  <c r="F75" i="45"/>
  <c r="H88" i="59"/>
  <c r="H107" i="59" s="1"/>
  <c r="J131" i="13"/>
  <c r="Z23" i="87"/>
  <c r="Z32" i="87" s="1"/>
  <c r="H37" i="78"/>
  <c r="H47" i="78" s="1"/>
  <c r="P17" i="84"/>
  <c r="L14" i="81"/>
  <c r="L18" i="81" s="1"/>
  <c r="N22" i="81"/>
  <c r="G23" i="80" s="1"/>
  <c r="N26" i="81"/>
  <c r="G27" i="80" s="1"/>
  <c r="H72" i="59"/>
  <c r="H106" i="59" s="1"/>
  <c r="I36" i="77"/>
  <c r="E36" i="76" s="1"/>
  <c r="F31" i="67"/>
  <c r="E126" i="45"/>
  <c r="N35" i="81"/>
  <c r="G36" i="80" s="1"/>
  <c r="M14" i="81"/>
  <c r="M18" i="81" s="1"/>
  <c r="F92" i="45"/>
  <c r="F33" i="67"/>
  <c r="G27" i="81"/>
  <c r="I27" i="77"/>
  <c r="E27" i="76" s="1"/>
  <c r="F28" i="45"/>
  <c r="F68" i="45"/>
  <c r="F50" i="67"/>
  <c r="E120" i="45"/>
  <c r="F120" i="45" s="1"/>
  <c r="F27" i="81"/>
  <c r="F113" i="59"/>
  <c r="F18" i="67"/>
  <c r="F37" i="78"/>
  <c r="F47" i="78" s="1"/>
  <c r="F77" i="45"/>
  <c r="H49" i="59"/>
  <c r="H55" i="59" s="1"/>
  <c r="E125" i="45"/>
  <c r="M27" i="81"/>
  <c r="D102" i="45"/>
  <c r="D108" i="45" s="1"/>
  <c r="F109" i="59"/>
  <c r="E16" i="60" s="1"/>
  <c r="E17" i="60" s="1"/>
  <c r="F45" i="45"/>
  <c r="G36" i="67"/>
  <c r="G37" i="78"/>
  <c r="G47" i="78" s="1"/>
  <c r="H141" i="59"/>
  <c r="F95" i="45"/>
  <c r="J138" i="13"/>
  <c r="C11" i="69" s="1"/>
  <c r="E11" i="69" s="1"/>
  <c r="I186" i="13"/>
  <c r="J186" i="13" s="1"/>
  <c r="T23" i="87"/>
  <c r="T32" i="87" s="1"/>
  <c r="J98" i="13"/>
  <c r="R4" i="13"/>
  <c r="S4" i="13" s="1"/>
  <c r="I178" i="13"/>
  <c r="J178" i="13" s="1"/>
  <c r="M11" i="116"/>
  <c r="AE23" i="87"/>
  <c r="AE32" i="87" s="1"/>
  <c r="H150" i="13"/>
  <c r="AG23" i="87"/>
  <c r="AG32" i="87" s="1"/>
  <c r="V23" i="87"/>
  <c r="V32" i="87" s="1"/>
  <c r="AK23" i="87"/>
  <c r="AK32" i="87" s="1"/>
  <c r="AH23" i="87"/>
  <c r="AH32" i="87" s="1"/>
  <c r="Y23" i="87"/>
  <c r="Y32" i="87" s="1"/>
  <c r="R23" i="87"/>
  <c r="R32" i="87" s="1"/>
  <c r="AF23" i="87"/>
  <c r="AF32" i="87" s="1"/>
  <c r="G135" i="46"/>
  <c r="H135" i="59"/>
  <c r="J126" i="13"/>
  <c r="J129" i="13"/>
  <c r="F48" i="45"/>
  <c r="G35" i="83"/>
  <c r="I62" i="83"/>
  <c r="I64" i="83" s="1"/>
  <c r="H102" i="46"/>
  <c r="H108" i="46" s="1"/>
  <c r="E21" i="45"/>
  <c r="E53" i="45" s="1"/>
  <c r="I6" i="45"/>
  <c r="D49" i="45"/>
  <c r="D55" i="45" s="1"/>
  <c r="D36" i="45"/>
  <c r="D54" i="45" s="1"/>
  <c r="G13" i="83"/>
  <c r="F13" i="83" s="1"/>
  <c r="E14" i="83"/>
  <c r="G21" i="83"/>
  <c r="F83" i="45"/>
  <c r="F19" i="45"/>
  <c r="H132" i="46"/>
  <c r="F93" i="45"/>
  <c r="J14" i="81"/>
  <c r="J18" i="81" s="1"/>
  <c r="J37" i="81" s="1"/>
  <c r="J46" i="81" s="1"/>
  <c r="F96" i="45"/>
  <c r="H14" i="81"/>
  <c r="H18" i="81" s="1"/>
  <c r="H37" i="81" s="1"/>
  <c r="H46" i="81" s="1"/>
  <c r="F41" i="45"/>
  <c r="N12" i="81"/>
  <c r="G13" i="80" s="1"/>
  <c r="G158" i="46" s="1"/>
  <c r="F35" i="45"/>
  <c r="F82" i="45"/>
  <c r="E88" i="45"/>
  <c r="E107" i="45" s="1"/>
  <c r="I32" i="80"/>
  <c r="G32" i="76" s="1"/>
  <c r="E35" i="83"/>
  <c r="F14" i="81"/>
  <c r="F18" i="81" s="1"/>
  <c r="F37" i="81" s="1"/>
  <c r="F46" i="81" s="1"/>
  <c r="F109" i="46"/>
  <c r="F112" i="46"/>
  <c r="E61" i="45"/>
  <c r="F61" i="45" s="1"/>
  <c r="F153" i="46"/>
  <c r="E76" i="83" s="1"/>
  <c r="E11" i="80"/>
  <c r="F154" i="46" s="1"/>
  <c r="F115" i="46"/>
  <c r="M6" i="45"/>
  <c r="L6" i="45"/>
  <c r="F34" i="45"/>
  <c r="E134" i="45"/>
  <c r="F97" i="45"/>
  <c r="E102" i="45"/>
  <c r="E108" i="45" s="1"/>
  <c r="G115" i="59"/>
  <c r="H102" i="59"/>
  <c r="H108" i="59" s="1"/>
  <c r="G141" i="46"/>
  <c r="G19" i="67"/>
  <c r="G21" i="67" s="1"/>
  <c r="D21" i="67"/>
  <c r="H21" i="59"/>
  <c r="H53" i="59" s="1"/>
  <c r="E36" i="80"/>
  <c r="H134" i="46"/>
  <c r="G36" i="46"/>
  <c r="G54" i="46" s="1"/>
  <c r="H16" i="46"/>
  <c r="H21" i="46" s="1"/>
  <c r="H53" i="46" s="1"/>
  <c r="G21" i="46"/>
  <c r="G53" i="46" s="1"/>
  <c r="G127" i="46"/>
  <c r="E37" i="67"/>
  <c r="F25" i="67"/>
  <c r="E72" i="45"/>
  <c r="E106" i="45" s="1"/>
  <c r="N20" i="81"/>
  <c r="G21" i="80" s="1"/>
  <c r="H36" i="46"/>
  <c r="H54" i="46" s="1"/>
  <c r="G50" i="67"/>
  <c r="G51" i="67" s="1"/>
  <c r="E27" i="81"/>
  <c r="D88" i="45"/>
  <c r="D107" i="45" s="1"/>
  <c r="G25" i="67"/>
  <c r="D37" i="67"/>
  <c r="D134" i="45"/>
  <c r="F35" i="67"/>
  <c r="D13" i="45"/>
  <c r="D52" i="45" s="1"/>
  <c r="J6" i="45"/>
  <c r="F121" i="45"/>
  <c r="F19" i="67"/>
  <c r="F135" i="46"/>
  <c r="D12" i="67"/>
  <c r="G10" i="67"/>
  <c r="G12" i="67" s="1"/>
  <c r="E13" i="84"/>
  <c r="I13" i="84" s="1"/>
  <c r="G63" i="46"/>
  <c r="G105" i="46" s="1"/>
  <c r="H6" i="45"/>
  <c r="G27" i="67"/>
  <c r="F27" i="67"/>
  <c r="D72" i="45"/>
  <c r="D106" i="45" s="1"/>
  <c r="F66" i="45"/>
  <c r="F112" i="59"/>
  <c r="F56" i="59"/>
  <c r="N10" i="81"/>
  <c r="G72" i="46"/>
  <c r="G106" i="46" s="1"/>
  <c r="H66" i="46"/>
  <c r="H72" i="46" s="1"/>
  <c r="H106" i="46" s="1"/>
  <c r="F26" i="67"/>
  <c r="G26" i="67"/>
  <c r="F157" i="59"/>
  <c r="H13" i="59"/>
  <c r="H52" i="59" s="1"/>
  <c r="O6" i="45"/>
  <c r="E60" i="45"/>
  <c r="F114" i="59"/>
  <c r="E133" i="45"/>
  <c r="K6" i="45"/>
  <c r="N33" i="81"/>
  <c r="G34" i="80" s="1"/>
  <c r="I34" i="80" s="1"/>
  <c r="G34" i="76" s="1"/>
  <c r="G6" i="45"/>
  <c r="I190" i="13"/>
  <c r="J190" i="13" s="1"/>
  <c r="AA23" i="87"/>
  <c r="AA32" i="87" s="1"/>
  <c r="J90" i="13"/>
  <c r="J113" i="13"/>
  <c r="S23" i="87"/>
  <c r="S32" i="87" s="1"/>
  <c r="J132" i="13"/>
  <c r="I23" i="87"/>
  <c r="I32" i="87" s="1"/>
  <c r="AC23" i="87"/>
  <c r="AC32" i="87" s="1"/>
  <c r="J65" i="13"/>
  <c r="AI23" i="87"/>
  <c r="AI32" i="87" s="1"/>
  <c r="D84" i="111"/>
  <c r="D86" i="111" s="1"/>
  <c r="E33" i="85" s="1"/>
  <c r="G102" i="46"/>
  <c r="G108" i="46" s="1"/>
  <c r="G109" i="59"/>
  <c r="G157" i="59" s="1"/>
  <c r="G114" i="59"/>
  <c r="G88" i="46"/>
  <c r="G107" i="46" s="1"/>
  <c r="H75" i="46"/>
  <c r="H88" i="46" s="1"/>
  <c r="H107" i="46" s="1"/>
  <c r="G158" i="59"/>
  <c r="N14" i="78"/>
  <c r="N18" i="78" s="1"/>
  <c r="H49" i="46"/>
  <c r="H55" i="46" s="1"/>
  <c r="G49" i="46"/>
  <c r="G55" i="46" s="1"/>
  <c r="F39" i="45"/>
  <c r="E49" i="45"/>
  <c r="E55" i="45" s="1"/>
  <c r="G56" i="59"/>
  <c r="G153" i="59" s="1"/>
  <c r="N6" i="45"/>
  <c r="E36" i="45"/>
  <c r="E54" i="45" s="1"/>
  <c r="F24" i="45"/>
  <c r="K14" i="81"/>
  <c r="K18" i="81" s="1"/>
  <c r="G11" i="77"/>
  <c r="G154" i="59" s="1"/>
  <c r="F12" i="45"/>
  <c r="G13" i="46"/>
  <c r="G52" i="46" s="1"/>
  <c r="H12" i="46"/>
  <c r="H13" i="46" s="1"/>
  <c r="H125" i="46"/>
  <c r="F127" i="46"/>
  <c r="E21" i="80"/>
  <c r="D125" i="45"/>
  <c r="E30" i="80"/>
  <c r="D126" i="45"/>
  <c r="H126" i="46"/>
  <c r="E23" i="80"/>
  <c r="D122" i="45"/>
  <c r="J19" i="13"/>
  <c r="G25" i="71"/>
  <c r="E25" i="73"/>
  <c r="M23" i="87"/>
  <c r="M32" i="87" s="1"/>
  <c r="AB23" i="87"/>
  <c r="AB32" i="87" s="1"/>
  <c r="H17" i="83"/>
  <c r="A18" i="83"/>
  <c r="A27" i="83"/>
  <c r="H26" i="83"/>
  <c r="L58" i="74"/>
  <c r="G17" i="74" s="1"/>
  <c r="K37" i="78"/>
  <c r="K47" i="78" s="1"/>
  <c r="J37" i="78"/>
  <c r="J47" i="78" s="1"/>
  <c r="H199" i="13"/>
  <c r="I15" i="72"/>
  <c r="J25" i="86"/>
  <c r="L56" i="86" s="1"/>
  <c r="L57" i="86"/>
  <c r="G15" i="84"/>
  <c r="X15" i="84"/>
  <c r="L17" i="84"/>
  <c r="X17" i="84" s="1"/>
  <c r="I16" i="72"/>
  <c r="H203" i="13"/>
  <c r="P19" i="86"/>
  <c r="A20" i="86"/>
  <c r="A23" i="80"/>
  <c r="K21" i="80"/>
  <c r="N27" i="78"/>
  <c r="G21" i="77"/>
  <c r="A19" i="77"/>
  <c r="A21" i="77" s="1"/>
  <c r="A19" i="76"/>
  <c r="I17" i="76"/>
  <c r="A21" i="74"/>
  <c r="K19" i="74"/>
  <c r="I22" i="72"/>
  <c r="G25" i="73"/>
  <c r="G26" i="73"/>
  <c r="G33" i="73" s="1"/>
  <c r="I74" i="72"/>
  <c r="G37" i="72" s="1"/>
  <c r="E32" i="72"/>
  <c r="G74" i="72"/>
  <c r="E37" i="72" s="1"/>
  <c r="G34" i="72"/>
  <c r="E55" i="106"/>
  <c r="K19" i="77"/>
  <c r="G31" i="72"/>
  <c r="E31" i="72"/>
  <c r="E34" i="72"/>
  <c r="G35" i="72"/>
  <c r="A19" i="72"/>
  <c r="Q17" i="72"/>
  <c r="E27" i="73"/>
  <c r="E31" i="73"/>
  <c r="A20" i="73"/>
  <c r="O20" i="73"/>
  <c r="K28" i="106"/>
  <c r="A30" i="106"/>
  <c r="G44" i="85"/>
  <c r="J25" i="85"/>
  <c r="K25" i="85" s="1"/>
  <c r="L25" i="85" s="1"/>
  <c r="J23" i="87"/>
  <c r="J32" i="87" s="1"/>
  <c r="J81" i="13"/>
  <c r="H83" i="13"/>
  <c r="J13" i="13"/>
  <c r="J130" i="13"/>
  <c r="AL23" i="87"/>
  <c r="AL32" i="87" s="1"/>
  <c r="I234" i="13"/>
  <c r="I182" i="13"/>
  <c r="I183" i="13" s="1"/>
  <c r="M12" i="116"/>
  <c r="AM14" i="87"/>
  <c r="L16" i="86" s="1"/>
  <c r="I199" i="13" s="1"/>
  <c r="H23" i="87"/>
  <c r="H32" i="87" s="1"/>
  <c r="H133" i="13"/>
  <c r="J52" i="13"/>
  <c r="D29" i="111" s="1"/>
  <c r="D34" i="111" s="1"/>
  <c r="E26" i="85" s="1"/>
  <c r="AD23" i="87"/>
  <c r="AD32" i="87" s="1"/>
  <c r="W23" i="87"/>
  <c r="W32" i="87" s="1"/>
  <c r="L13" i="86"/>
  <c r="N13" i="86" s="1"/>
  <c r="N16" i="86" s="1"/>
  <c r="AM17" i="87"/>
  <c r="L19" i="86" s="1"/>
  <c r="N19" i="86" s="1"/>
  <c r="J25" i="13"/>
  <c r="I27" i="13"/>
  <c r="I83" i="13" s="1"/>
  <c r="I13" i="116"/>
  <c r="N32" i="87"/>
  <c r="H21" i="13"/>
  <c r="I177" i="13"/>
  <c r="G16" i="91"/>
  <c r="M22" i="92"/>
  <c r="O16" i="92"/>
  <c r="G34" i="92"/>
  <c r="I34" i="92" s="1"/>
  <c r="I14" i="90" s="1"/>
  <c r="I30" i="92"/>
  <c r="K22" i="93"/>
  <c r="A25" i="93"/>
  <c r="M31" i="72"/>
  <c r="M37" i="72"/>
  <c r="O38" i="72"/>
  <c r="A17" i="107"/>
  <c r="K16" i="107"/>
  <c r="H24" i="115"/>
  <c r="E26" i="115"/>
  <c r="K17" i="71"/>
  <c r="A19" i="71"/>
  <c r="A20" i="71" s="1"/>
  <c r="A21" i="71" s="1"/>
  <c r="G14" i="90"/>
  <c r="I26" i="73"/>
  <c r="K15" i="90"/>
  <c r="I33" i="73" s="1"/>
  <c r="E24" i="90"/>
  <c r="G23" i="90" s="1"/>
  <c r="K23" i="90" s="1"/>
  <c r="M17" i="73"/>
  <c r="M20" i="73" s="1"/>
  <c r="G30" i="93"/>
  <c r="I22" i="93"/>
  <c r="E61" i="90"/>
  <c r="E63" i="90" s="1"/>
  <c r="E53" i="90"/>
  <c r="K14" i="91"/>
  <c r="I21" i="13"/>
  <c r="I133" i="13"/>
  <c r="F126" i="45" l="1"/>
  <c r="F21" i="45"/>
  <c r="F53" i="45" s="1"/>
  <c r="E37" i="81"/>
  <c r="E46" i="81" s="1"/>
  <c r="F11" i="45"/>
  <c r="F13" i="45" s="1"/>
  <c r="F52" i="45" s="1"/>
  <c r="D37" i="81"/>
  <c r="D46" i="81" s="1"/>
  <c r="E53" i="67"/>
  <c r="I37" i="81"/>
  <c r="I46" i="81" s="1"/>
  <c r="F116" i="59"/>
  <c r="E64" i="83"/>
  <c r="E77" i="83" s="1"/>
  <c r="E32" i="73"/>
  <c r="A24" i="90"/>
  <c r="M24" i="90" s="1"/>
  <c r="M23" i="90"/>
  <c r="G32" i="73"/>
  <c r="A20" i="92"/>
  <c r="Q19" i="92"/>
  <c r="E127" i="45"/>
  <c r="F155" i="46"/>
  <c r="D115" i="45"/>
  <c r="G62" i="83"/>
  <c r="G64" i="83" s="1"/>
  <c r="L37" i="81"/>
  <c r="L46" i="81" s="1"/>
  <c r="K37" i="81"/>
  <c r="K46" i="81" s="1"/>
  <c r="E13" i="77"/>
  <c r="F158" i="59" s="1"/>
  <c r="F159" i="59" s="1"/>
  <c r="H112" i="59"/>
  <c r="G116" i="59"/>
  <c r="G161" i="59" s="1"/>
  <c r="G37" i="81"/>
  <c r="G46" i="81" s="1"/>
  <c r="V4" i="13"/>
  <c r="W4" i="13" s="1"/>
  <c r="X4" i="13" s="1"/>
  <c r="Y4" i="13" s="1"/>
  <c r="Z4" i="13" s="1"/>
  <c r="AA4" i="13" s="1"/>
  <c r="H26" i="115"/>
  <c r="E19" i="69" s="1"/>
  <c r="D114" i="45"/>
  <c r="I23" i="80"/>
  <c r="G23" i="76" s="1"/>
  <c r="I36" i="80"/>
  <c r="G36" i="76" s="1"/>
  <c r="F72" i="45"/>
  <c r="F106" i="45" s="1"/>
  <c r="F113" i="45" s="1"/>
  <c r="H114" i="59"/>
  <c r="H109" i="59"/>
  <c r="H157" i="59" s="1"/>
  <c r="N27" i="81"/>
  <c r="N14" i="81"/>
  <c r="N18" i="81" s="1"/>
  <c r="H109" i="46"/>
  <c r="H157" i="46" s="1"/>
  <c r="G114" i="46"/>
  <c r="H113" i="59"/>
  <c r="F88" i="45"/>
  <c r="F107" i="45" s="1"/>
  <c r="F102" i="45"/>
  <c r="F108" i="45" s="1"/>
  <c r="H135" i="46"/>
  <c r="F36" i="45"/>
  <c r="F54" i="45" s="1"/>
  <c r="J21" i="13"/>
  <c r="I217" i="13" s="1"/>
  <c r="J133" i="13"/>
  <c r="D11" i="111" s="1"/>
  <c r="E15" i="85" s="1"/>
  <c r="E114" i="45"/>
  <c r="F157" i="46"/>
  <c r="I76" i="83" s="1"/>
  <c r="I77" i="83" s="1"/>
  <c r="E13" i="80"/>
  <c r="G11" i="80"/>
  <c r="G15" i="80" s="1"/>
  <c r="G19" i="80" s="1"/>
  <c r="G162" i="46" s="1"/>
  <c r="H115" i="46"/>
  <c r="E113" i="45"/>
  <c r="F49" i="45"/>
  <c r="F55" i="45" s="1"/>
  <c r="F134" i="45"/>
  <c r="E135" i="45"/>
  <c r="F116" i="46"/>
  <c r="F161" i="46" s="1"/>
  <c r="G76" i="83" s="1"/>
  <c r="H56" i="59"/>
  <c r="H153" i="59" s="1"/>
  <c r="D53" i="67"/>
  <c r="F133" i="45"/>
  <c r="E115" i="45"/>
  <c r="F60" i="45"/>
  <c r="F63" i="45" s="1"/>
  <c r="F105" i="45" s="1"/>
  <c r="E63" i="45"/>
  <c r="E105" i="45" s="1"/>
  <c r="E109" i="45" s="1"/>
  <c r="D16" i="60"/>
  <c r="D17" i="60" s="1"/>
  <c r="E11" i="77"/>
  <c r="I11" i="77" s="1"/>
  <c r="F153" i="59"/>
  <c r="G37" i="67"/>
  <c r="G53" i="67" s="1"/>
  <c r="G113" i="46"/>
  <c r="D135" i="45"/>
  <c r="F161" i="59"/>
  <c r="F16" i="60"/>
  <c r="F17" i="60" s="1"/>
  <c r="F19" i="60" s="1"/>
  <c r="F129" i="59"/>
  <c r="F143" i="59" s="1"/>
  <c r="H113" i="46"/>
  <c r="H115" i="59"/>
  <c r="D113" i="45"/>
  <c r="D109" i="45"/>
  <c r="D56" i="45"/>
  <c r="D112" i="45"/>
  <c r="H154" i="13"/>
  <c r="H171" i="13" s="1"/>
  <c r="I185" i="13"/>
  <c r="J185" i="13" s="1"/>
  <c r="G159" i="59"/>
  <c r="G115" i="46"/>
  <c r="H114" i="46"/>
  <c r="G109" i="46"/>
  <c r="G157" i="46" s="1"/>
  <c r="G159" i="46" s="1"/>
  <c r="G155" i="59"/>
  <c r="F14" i="45"/>
  <c r="H52" i="46"/>
  <c r="G112" i="46"/>
  <c r="G56" i="46"/>
  <c r="G153" i="46" s="1"/>
  <c r="E56" i="45"/>
  <c r="G15" i="77"/>
  <c r="F165" i="59"/>
  <c r="F125" i="45"/>
  <c r="F127" i="45" s="1"/>
  <c r="D127" i="45"/>
  <c r="H127" i="46"/>
  <c r="J182" i="13"/>
  <c r="J183" i="13" s="1"/>
  <c r="J32" i="86"/>
  <c r="J41" i="86" s="1"/>
  <c r="J43" i="86" s="1"/>
  <c r="H207" i="13"/>
  <c r="H27" i="83"/>
  <c r="A28" i="83"/>
  <c r="A19" i="83"/>
  <c r="H18" i="83"/>
  <c r="G27" i="73"/>
  <c r="I17" i="72"/>
  <c r="I20" i="72" s="1"/>
  <c r="I24" i="72" s="1"/>
  <c r="M71" i="72" s="1"/>
  <c r="I35" i="72" s="1"/>
  <c r="G38" i="72"/>
  <c r="I21" i="80"/>
  <c r="G28" i="80"/>
  <c r="P20" i="86"/>
  <c r="A21" i="86"/>
  <c r="K23" i="80"/>
  <c r="A25" i="80"/>
  <c r="G28" i="77"/>
  <c r="I21" i="77"/>
  <c r="I19" i="76"/>
  <c r="A21" i="76"/>
  <c r="K21" i="74"/>
  <c r="A23" i="74"/>
  <c r="K23" i="74" s="1"/>
  <c r="E38" i="72"/>
  <c r="K22" i="72"/>
  <c r="O73" i="72" s="1"/>
  <c r="M73" i="72"/>
  <c r="L59" i="86"/>
  <c r="J78" i="86"/>
  <c r="L65" i="86"/>
  <c r="L66" i="86" s="1"/>
  <c r="A23" i="77"/>
  <c r="K21" i="77"/>
  <c r="A20" i="72"/>
  <c r="Q19" i="72"/>
  <c r="O24" i="73"/>
  <c r="A24" i="73"/>
  <c r="K30" i="106"/>
  <c r="A33" i="106"/>
  <c r="J44" i="85"/>
  <c r="K44" i="85" s="1"/>
  <c r="H152" i="13"/>
  <c r="I152" i="13"/>
  <c r="J27" i="13"/>
  <c r="J83" i="13" s="1"/>
  <c r="M10" i="116"/>
  <c r="M9" i="116"/>
  <c r="I179" i="13"/>
  <c r="J177" i="13"/>
  <c r="J179" i="13" s="1"/>
  <c r="H170" i="13"/>
  <c r="H198" i="13"/>
  <c r="H200" i="13" s="1"/>
  <c r="I232" i="13"/>
  <c r="L13" i="116"/>
  <c r="L21" i="116" s="1"/>
  <c r="G22" i="90"/>
  <c r="G24" i="90" s="1"/>
  <c r="M30" i="92"/>
  <c r="O22" i="92"/>
  <c r="K25" i="93"/>
  <c r="A27" i="93"/>
  <c r="A18" i="107"/>
  <c r="K17" i="107"/>
  <c r="A23" i="71"/>
  <c r="K21" i="71"/>
  <c r="I25" i="73"/>
  <c r="I27" i="73" s="1"/>
  <c r="K27" i="73"/>
  <c r="G16" i="90"/>
  <c r="K14" i="90"/>
  <c r="I30" i="93"/>
  <c r="G34" i="93"/>
  <c r="I34" i="93" s="1"/>
  <c r="M25" i="73"/>
  <c r="M32" i="73" s="1"/>
  <c r="M24" i="73"/>
  <c r="M26" i="73"/>
  <c r="M33" i="73" s="1"/>
  <c r="T80" i="72"/>
  <c r="O31" i="72" s="1"/>
  <c r="K16" i="91"/>
  <c r="K32" i="73"/>
  <c r="I198" i="13"/>
  <c r="I200" i="13" s="1"/>
  <c r="I231" i="13"/>
  <c r="J199" i="13"/>
  <c r="L73" i="86"/>
  <c r="K15" i="72"/>
  <c r="I233" i="13"/>
  <c r="L44" i="85" l="1"/>
  <c r="Q20" i="92"/>
  <c r="A22" i="92"/>
  <c r="AB4" i="13"/>
  <c r="AC4" i="13" s="1"/>
  <c r="AD4" i="13" s="1"/>
  <c r="AE4" i="13" s="1"/>
  <c r="AF4" i="13" s="1"/>
  <c r="AG4" i="13" s="1"/>
  <c r="AH4" i="13" s="1"/>
  <c r="AI4" i="13" s="1"/>
  <c r="AJ4" i="13" s="1"/>
  <c r="AK4" i="13" s="1"/>
  <c r="AL4" i="13" s="1"/>
  <c r="AM4" i="13" s="1"/>
  <c r="AN4" i="13" s="1"/>
  <c r="AO4" i="13" s="1"/>
  <c r="E56" i="77"/>
  <c r="E15" i="80"/>
  <c r="E60" i="80"/>
  <c r="G77" i="83"/>
  <c r="I13" i="77"/>
  <c r="E13" i="76" s="1"/>
  <c r="F115" i="45"/>
  <c r="F114" i="45"/>
  <c r="H116" i="59"/>
  <c r="H161" i="59" s="1"/>
  <c r="H145" i="46"/>
  <c r="F139" i="46" s="1"/>
  <c r="F109" i="45"/>
  <c r="C10" i="69"/>
  <c r="E10" i="69" s="1"/>
  <c r="J152" i="13"/>
  <c r="I218" i="13" s="1"/>
  <c r="J218" i="13" s="1"/>
  <c r="I11" i="80"/>
  <c r="G11" i="76" s="1"/>
  <c r="F129" i="46"/>
  <c r="G154" i="46"/>
  <c r="G155" i="46" s="1"/>
  <c r="C7" i="69"/>
  <c r="E7" i="69" s="1"/>
  <c r="J170" i="13"/>
  <c r="I170" i="13" s="1"/>
  <c r="J198" i="13"/>
  <c r="J200" i="13" s="1"/>
  <c r="H206" i="13"/>
  <c r="H208" i="13" s="1"/>
  <c r="I188" i="13"/>
  <c r="I192" i="13" s="1"/>
  <c r="C9" i="69"/>
  <c r="E9" i="69" s="1"/>
  <c r="L15" i="85"/>
  <c r="F158" i="46"/>
  <c r="F159" i="46" s="1"/>
  <c r="I13" i="80"/>
  <c r="F56" i="45"/>
  <c r="F112" i="45"/>
  <c r="G116" i="46"/>
  <c r="G161" i="46" s="1"/>
  <c r="G163" i="46" s="1"/>
  <c r="F135" i="45"/>
  <c r="H154" i="59"/>
  <c r="H155" i="59" s="1"/>
  <c r="F154" i="59"/>
  <c r="F155" i="59" s="1"/>
  <c r="E15" i="77"/>
  <c r="E112" i="45"/>
  <c r="E116" i="45" s="1"/>
  <c r="D116" i="45"/>
  <c r="D129" i="45" s="1"/>
  <c r="H160" i="13"/>
  <c r="H202" i="13"/>
  <c r="H204" i="13" s="1"/>
  <c r="E11" i="76"/>
  <c r="H112" i="46"/>
  <c r="H116" i="46" s="1"/>
  <c r="H161" i="46" s="1"/>
  <c r="H56" i="46"/>
  <c r="H153" i="46" s="1"/>
  <c r="G19" i="77"/>
  <c r="G162" i="59"/>
  <c r="G163" i="59" s="1"/>
  <c r="I31" i="72"/>
  <c r="H19" i="83"/>
  <c r="A20" i="83"/>
  <c r="H20" i="83" s="1"/>
  <c r="A29" i="83"/>
  <c r="H28" i="83"/>
  <c r="E19" i="80"/>
  <c r="E61" i="80"/>
  <c r="F162" i="46"/>
  <c r="F163" i="46" s="1"/>
  <c r="M74" i="72"/>
  <c r="I37" i="72" s="1"/>
  <c r="I34" i="72"/>
  <c r="G21" i="76"/>
  <c r="I32" i="72"/>
  <c r="A22" i="86"/>
  <c r="P21" i="86"/>
  <c r="K25" i="80"/>
  <c r="A27" i="80"/>
  <c r="E21" i="76"/>
  <c r="E28" i="76" s="1"/>
  <c r="I28" i="77"/>
  <c r="A23" i="76"/>
  <c r="I21" i="76"/>
  <c r="K23" i="77"/>
  <c r="A25" i="77"/>
  <c r="Q20" i="72"/>
  <c r="A22" i="72"/>
  <c r="A25" i="73"/>
  <c r="O25" i="73"/>
  <c r="A34" i="106"/>
  <c r="K33" i="106"/>
  <c r="J26" i="85"/>
  <c r="K26" i="85" s="1"/>
  <c r="L26" i="85" s="1"/>
  <c r="G27" i="85"/>
  <c r="H172" i="13"/>
  <c r="M13" i="116"/>
  <c r="K22" i="90"/>
  <c r="O30" i="92"/>
  <c r="M34" i="92"/>
  <c r="O34" i="92" s="1"/>
  <c r="I22" i="90" s="1"/>
  <c r="A28" i="93"/>
  <c r="K27" i="93"/>
  <c r="A19" i="107"/>
  <c r="K18" i="107"/>
  <c r="A25" i="71"/>
  <c r="K23" i="71"/>
  <c r="M27" i="73"/>
  <c r="M31" i="73"/>
  <c r="K16" i="90"/>
  <c r="I32" i="73"/>
  <c r="Q22" i="92" l="1"/>
  <c r="A25" i="92"/>
  <c r="I15" i="77"/>
  <c r="H162" i="59" s="1"/>
  <c r="H163" i="59" s="1"/>
  <c r="H158" i="59"/>
  <c r="H159" i="59" s="1"/>
  <c r="F116" i="45"/>
  <c r="F140" i="46"/>
  <c r="H140" i="46" s="1"/>
  <c r="F138" i="46"/>
  <c r="H138" i="46" s="1"/>
  <c r="I15" i="80"/>
  <c r="H162" i="46" s="1"/>
  <c r="H163" i="46" s="1"/>
  <c r="E13" i="69"/>
  <c r="J188" i="13"/>
  <c r="J192" i="13" s="1"/>
  <c r="C13" i="69"/>
  <c r="E15" i="76"/>
  <c r="E19" i="76" s="1"/>
  <c r="H158" i="46"/>
  <c r="H159" i="46" s="1"/>
  <c r="G13" i="76"/>
  <c r="G15" i="76" s="1"/>
  <c r="G19" i="76" s="1"/>
  <c r="E19" i="77"/>
  <c r="E38" i="77" s="1"/>
  <c r="F162" i="59"/>
  <c r="F163" i="59" s="1"/>
  <c r="H139" i="46"/>
  <c r="D139" i="45"/>
  <c r="F139" i="45" s="1"/>
  <c r="I38" i="72"/>
  <c r="H29" i="83"/>
  <c r="A30" i="83"/>
  <c r="H154" i="46"/>
  <c r="H155" i="46" s="1"/>
  <c r="P22" i="86"/>
  <c r="A23" i="86"/>
  <c r="K27" i="80"/>
  <c r="A28" i="80"/>
  <c r="A25" i="76"/>
  <c r="I23" i="76"/>
  <c r="A27" i="77"/>
  <c r="K25" i="77"/>
  <c r="A24" i="72"/>
  <c r="Q22" i="72"/>
  <c r="O26" i="73"/>
  <c r="A26" i="73"/>
  <c r="A35" i="106"/>
  <c r="K34" i="106"/>
  <c r="G28" i="85"/>
  <c r="G29" i="85" s="1"/>
  <c r="J27" i="85"/>
  <c r="K27" i="85" s="1"/>
  <c r="L27" i="85" s="1"/>
  <c r="L22" i="116"/>
  <c r="K28" i="93"/>
  <c r="A30" i="93"/>
  <c r="A21" i="107"/>
  <c r="K19" i="107"/>
  <c r="A27" i="71"/>
  <c r="K25" i="71"/>
  <c r="Q25" i="92" l="1"/>
  <c r="A27" i="92"/>
  <c r="I19" i="77"/>
  <c r="D138" i="45"/>
  <c r="F138" i="45" s="1"/>
  <c r="D140" i="45"/>
  <c r="F140" i="45" s="1"/>
  <c r="F141" i="46"/>
  <c r="E27" i="80" s="1"/>
  <c r="E28" i="80" s="1"/>
  <c r="E38" i="80" s="1"/>
  <c r="F166" i="46" s="1"/>
  <c r="I19" i="80"/>
  <c r="F166" i="59"/>
  <c r="F167" i="59" s="1"/>
  <c r="E57" i="77"/>
  <c r="H141" i="46"/>
  <c r="I27" i="80" s="1"/>
  <c r="A31" i="83"/>
  <c r="H30" i="83"/>
  <c r="P23" i="86"/>
  <c r="A25" i="86"/>
  <c r="K28" i="80"/>
  <c r="A30" i="80"/>
  <c r="I25" i="76"/>
  <c r="A27" i="76"/>
  <c r="A28" i="77"/>
  <c r="K27" i="77"/>
  <c r="A27" i="72"/>
  <c r="Q24" i="72"/>
  <c r="O27" i="73"/>
  <c r="A27" i="73"/>
  <c r="K35" i="106"/>
  <c r="A36" i="106"/>
  <c r="J28" i="85"/>
  <c r="K28" i="85" s="1"/>
  <c r="L28" i="85" s="1"/>
  <c r="A32" i="93"/>
  <c r="K30" i="93"/>
  <c r="A22" i="107"/>
  <c r="K21" i="107"/>
  <c r="K27" i="71"/>
  <c r="K37" i="71" s="1"/>
  <c r="K39" i="71" s="1"/>
  <c r="K41" i="71" s="1"/>
  <c r="K43" i="71" s="1"/>
  <c r="A37" i="71"/>
  <c r="A39" i="71" s="1"/>
  <c r="A41" i="71" s="1"/>
  <c r="A43" i="71" s="1"/>
  <c r="Q27" i="92" l="1"/>
  <c r="A28" i="92"/>
  <c r="F143" i="46"/>
  <c r="F165" i="46" s="1"/>
  <c r="F167" i="46" s="1"/>
  <c r="F141" i="45"/>
  <c r="D141" i="45"/>
  <c r="D143" i="45" s="1"/>
  <c r="G27" i="76"/>
  <c r="G28" i="76" s="1"/>
  <c r="I28" i="80"/>
  <c r="A32" i="83"/>
  <c r="H31" i="83"/>
  <c r="P25" i="86"/>
  <c r="A28" i="86"/>
  <c r="A29" i="86" s="1"/>
  <c r="A30" i="86" s="1"/>
  <c r="A32" i="86" s="1"/>
  <c r="A35" i="86" s="1"/>
  <c r="A37" i="86" s="1"/>
  <c r="A38" i="86" s="1"/>
  <c r="A39" i="86" s="1"/>
  <c r="A41" i="86" s="1"/>
  <c r="A42" i="86" s="1"/>
  <c r="A43" i="86" s="1"/>
  <c r="K30" i="80"/>
  <c r="A32" i="80"/>
  <c r="A28" i="76"/>
  <c r="I27" i="76"/>
  <c r="A30" i="77"/>
  <c r="K28" i="77"/>
  <c r="A28" i="72"/>
  <c r="Q27" i="72"/>
  <c r="A31" i="73"/>
  <c r="O31" i="73"/>
  <c r="A37" i="106"/>
  <c r="K36" i="106"/>
  <c r="A34" i="93"/>
  <c r="K32" i="93"/>
  <c r="K34" i="93" s="1"/>
  <c r="A23" i="107"/>
  <c r="K22" i="107"/>
  <c r="A30" i="92" l="1"/>
  <c r="Q28" i="92"/>
  <c r="E56" i="80"/>
  <c r="E57" i="80" s="1"/>
  <c r="A33" i="83"/>
  <c r="H32" i="83"/>
  <c r="A34" i="80"/>
  <c r="K32" i="80"/>
  <c r="A30" i="76"/>
  <c r="I28" i="76"/>
  <c r="A32" i="77"/>
  <c r="K30" i="77"/>
  <c r="Q28" i="72"/>
  <c r="A29" i="72"/>
  <c r="O32" i="73"/>
  <c r="A32" i="73"/>
  <c r="O33" i="73" s="1"/>
  <c r="A40" i="106"/>
  <c r="K37" i="106"/>
  <c r="A24" i="107"/>
  <c r="K23" i="107"/>
  <c r="Q30" i="92" l="1"/>
  <c r="A32" i="92"/>
  <c r="A34" i="83"/>
  <c r="H33" i="83"/>
  <c r="A36" i="80"/>
  <c r="K34" i="80"/>
  <c r="A32" i="76"/>
  <c r="I30" i="76"/>
  <c r="K32" i="77"/>
  <c r="A34" i="77"/>
  <c r="A31" i="72"/>
  <c r="Q29" i="72"/>
  <c r="A42" i="106"/>
  <c r="K40" i="106"/>
  <c r="G30" i="85"/>
  <c r="J29" i="85"/>
  <c r="K29" i="85" s="1"/>
  <c r="L29" i="85" s="1"/>
  <c r="A25" i="107"/>
  <c r="K24" i="107"/>
  <c r="A34" i="92" l="1"/>
  <c r="Q32" i="92"/>
  <c r="Q34" i="92" s="1"/>
  <c r="H34" i="83"/>
  <c r="A35" i="83"/>
  <c r="A38" i="80"/>
  <c r="K38" i="80" s="1"/>
  <c r="K36" i="80"/>
  <c r="A34" i="76"/>
  <c r="I32" i="76"/>
  <c r="K34" i="77"/>
  <c r="A36" i="77"/>
  <c r="Q31" i="72"/>
  <c r="A32" i="72"/>
  <c r="K42" i="106"/>
  <c r="A44" i="106"/>
  <c r="K44" i="106" s="1"/>
  <c r="G31" i="85"/>
  <c r="J30" i="85"/>
  <c r="K30" i="85" s="1"/>
  <c r="L30" i="85" s="1"/>
  <c r="A26" i="107"/>
  <c r="K25" i="107"/>
  <c r="H35" i="83" l="1"/>
  <c r="A52" i="83"/>
  <c r="A36" i="76"/>
  <c r="I34" i="76"/>
  <c r="K36" i="77"/>
  <c r="A38" i="77"/>
  <c r="K38" i="77" s="1"/>
  <c r="A34" i="72"/>
  <c r="Q32" i="72"/>
  <c r="G32" i="85"/>
  <c r="J31" i="85"/>
  <c r="K31" i="85" s="1"/>
  <c r="L31" i="85" s="1"/>
  <c r="A27" i="107"/>
  <c r="K26" i="107"/>
  <c r="H52" i="83" l="1"/>
  <c r="A53" i="83"/>
  <c r="I36" i="76"/>
  <c r="A38" i="76"/>
  <c r="I38" i="76" s="1"/>
  <c r="A35" i="72"/>
  <c r="Q34" i="72"/>
  <c r="G33" i="85"/>
  <c r="J32" i="85"/>
  <c r="K32" i="85" s="1"/>
  <c r="L32" i="85" s="1"/>
  <c r="A28" i="107"/>
  <c r="K27" i="107"/>
  <c r="A54" i="83" l="1"/>
  <c r="H53" i="83"/>
  <c r="A37" i="72"/>
  <c r="Q35" i="72"/>
  <c r="G34" i="85"/>
  <c r="J33" i="85"/>
  <c r="K33" i="85" s="1"/>
  <c r="K28" i="107"/>
  <c r="A31" i="107"/>
  <c r="L33" i="85" l="1"/>
  <c r="H54" i="83"/>
  <c r="A55" i="83"/>
  <c r="A38" i="72"/>
  <c r="Q38" i="72" s="1"/>
  <c r="Q37" i="72"/>
  <c r="J34" i="85"/>
  <c r="K34" i="85" s="1"/>
  <c r="L34" i="85" s="1"/>
  <c r="G35" i="85"/>
  <c r="K31" i="107"/>
  <c r="A32" i="107"/>
  <c r="A56" i="83" l="1"/>
  <c r="H55" i="83"/>
  <c r="G36" i="85"/>
  <c r="J35" i="85"/>
  <c r="K35" i="85" s="1"/>
  <c r="A33" i="107"/>
  <c r="K32" i="107"/>
  <c r="A57" i="83" l="1"/>
  <c r="H56" i="83"/>
  <c r="J36" i="85"/>
  <c r="K36" i="85" s="1"/>
  <c r="L36" i="85" s="1"/>
  <c r="G37" i="85"/>
  <c r="A34" i="107"/>
  <c r="K33" i="107"/>
  <c r="A58" i="83" l="1"/>
  <c r="H57" i="83"/>
  <c r="G42" i="85"/>
  <c r="J37" i="85"/>
  <c r="K37" i="85" s="1"/>
  <c r="L37" i="85" s="1"/>
  <c r="A35" i="107"/>
  <c r="K34" i="107"/>
  <c r="A59" i="83" l="1"/>
  <c r="H58" i="83"/>
  <c r="G43" i="85"/>
  <c r="J43" i="85" s="1"/>
  <c r="K43" i="85" s="1"/>
  <c r="J42" i="85"/>
  <c r="K42" i="85" s="1"/>
  <c r="K35" i="107"/>
  <c r="A38" i="107"/>
  <c r="L43" i="85" l="1"/>
  <c r="A60" i="83"/>
  <c r="H59" i="83"/>
  <c r="A39" i="107"/>
  <c r="K38" i="107"/>
  <c r="H60" i="83" l="1"/>
  <c r="A61" i="83"/>
  <c r="K39" i="107"/>
  <c r="A40" i="107"/>
  <c r="A62" i="83" l="1"/>
  <c r="H61" i="83"/>
  <c r="K40" i="107"/>
  <c r="A41" i="107"/>
  <c r="H62" i="83" l="1"/>
  <c r="A64" i="83"/>
  <c r="H64" i="83" s="1"/>
  <c r="A42" i="107"/>
  <c r="K41" i="107"/>
  <c r="K42" i="107" l="1"/>
  <c r="A43" i="107"/>
  <c r="I27" i="116"/>
  <c r="I28" i="116"/>
  <c r="I29" i="116"/>
  <c r="I30" i="116"/>
  <c r="M29" i="78"/>
  <c r="N29" i="78" s="1"/>
  <c r="R6" i="59"/>
  <c r="M46" i="78" s="1"/>
  <c r="G119" i="59"/>
  <c r="G122" i="59" s="1"/>
  <c r="G129" i="59" s="1"/>
  <c r="G143" i="59" s="1"/>
  <c r="R119" i="46"/>
  <c r="P119" i="45" s="1"/>
  <c r="R6" i="46" l="1"/>
  <c r="M45" i="81" s="1"/>
  <c r="K43" i="107"/>
  <c r="A45" i="107"/>
  <c r="K45" i="107" s="1"/>
  <c r="M37" i="78"/>
  <c r="M47" i="78" s="1"/>
  <c r="H119" i="59"/>
  <c r="H122" i="59" s="1"/>
  <c r="H129" i="59" s="1"/>
  <c r="G119" i="46"/>
  <c r="H119" i="46" s="1"/>
  <c r="H122" i="46" s="1"/>
  <c r="H129" i="46" s="1"/>
  <c r="H143" i="46" s="1"/>
  <c r="M29" i="81"/>
  <c r="L1" i="59"/>
  <c r="N46" i="78" s="1"/>
  <c r="T11" i="84"/>
  <c r="V11" i="84" s="1"/>
  <c r="G11" i="84" s="1"/>
  <c r="G17" i="84" s="1"/>
  <c r="G56" i="77"/>
  <c r="G165" i="59"/>
  <c r="P6" i="45"/>
  <c r="J1" i="45" s="1"/>
  <c r="E119" i="45"/>
  <c r="N37" i="78"/>
  <c r="G30" i="77"/>
  <c r="H143" i="59" l="1"/>
  <c r="G54" i="76"/>
  <c r="L1" i="46"/>
  <c r="N45" i="81" s="1"/>
  <c r="G122" i="46"/>
  <c r="G129" i="46" s="1"/>
  <c r="G143" i="46" s="1"/>
  <c r="G56" i="80" s="1"/>
  <c r="T17" i="84"/>
  <c r="F148" i="45"/>
  <c r="H165" i="46"/>
  <c r="V17" i="84"/>
  <c r="E11" i="84"/>
  <c r="I11" i="84" s="1"/>
  <c r="I17" i="84" s="1"/>
  <c r="I56" i="80"/>
  <c r="N47" i="78"/>
  <c r="N29" i="81"/>
  <c r="M37" i="81"/>
  <c r="M46" i="81" s="1"/>
  <c r="I30" i="77"/>
  <c r="G38" i="77"/>
  <c r="F119" i="45"/>
  <c r="F122" i="45" s="1"/>
  <c r="F129" i="45" s="1"/>
  <c r="F143" i="45" s="1"/>
  <c r="E122" i="45"/>
  <c r="E129" i="45" s="1"/>
  <c r="E143" i="45" s="1"/>
  <c r="F147" i="45" l="1"/>
  <c r="F149" i="45" s="1"/>
  <c r="F150" i="45" s="1"/>
  <c r="H145" i="59"/>
  <c r="D101" i="111" s="1"/>
  <c r="D103" i="111" s="1"/>
  <c r="E54" i="76"/>
  <c r="E42" i="85"/>
  <c r="L42" i="85" s="1"/>
  <c r="I219" i="13"/>
  <c r="I220" i="13" s="1"/>
  <c r="I222" i="13" s="1"/>
  <c r="I224" i="13" s="1"/>
  <c r="H165" i="59"/>
  <c r="I56" i="77"/>
  <c r="C46" i="69"/>
  <c r="C48" i="69" s="1"/>
  <c r="C15" i="69" s="1"/>
  <c r="C17" i="69" s="1"/>
  <c r="C21" i="69" s="1"/>
  <c r="G165" i="46"/>
  <c r="E17" i="84"/>
  <c r="G30" i="80"/>
  <c r="N37" i="81"/>
  <c r="N46" i="81" s="1"/>
  <c r="G166" i="59"/>
  <c r="G167" i="59" s="1"/>
  <c r="G57" i="77"/>
  <c r="I38" i="77"/>
  <c r="E30" i="76"/>
  <c r="E38" i="76" s="1"/>
  <c r="G53" i="69" l="1"/>
  <c r="G55" i="69" s="1"/>
  <c r="G64" i="69" s="1"/>
  <c r="E17" i="69"/>
  <c r="E21" i="69" s="1"/>
  <c r="E23" i="69" s="1"/>
  <c r="E25" i="69" s="1"/>
  <c r="E27" i="69" s="1"/>
  <c r="E30" i="69" s="1"/>
  <c r="E37" i="69" s="1"/>
  <c r="C22" i="69" s="1"/>
  <c r="C23" i="69" s="1"/>
  <c r="C25" i="69" s="1"/>
  <c r="C27" i="69" s="1"/>
  <c r="C30" i="69" s="1"/>
  <c r="C37" i="69" s="1"/>
  <c r="C39" i="69" s="1"/>
  <c r="E15" i="69"/>
  <c r="F152" i="45"/>
  <c r="F153" i="45" s="1"/>
  <c r="G38" i="80"/>
  <c r="I30" i="80"/>
  <c r="H166" i="59"/>
  <c r="H167" i="59" s="1"/>
  <c r="I57" i="77"/>
  <c r="E11" i="71"/>
  <c r="E55" i="76"/>
  <c r="I38" i="80" l="1"/>
  <c r="G30" i="76"/>
  <c r="G38" i="76" s="1"/>
  <c r="G57" i="80"/>
  <c r="G166" i="46"/>
  <c r="G167" i="46" s="1"/>
  <c r="C42" i="69"/>
  <c r="X145" i="13" s="1"/>
  <c r="G65" i="69"/>
  <c r="G66" i="69" s="1"/>
  <c r="G68" i="69" s="1"/>
  <c r="X146" i="13" s="1"/>
  <c r="I146" i="13" s="1"/>
  <c r="J146" i="13" s="1"/>
  <c r="D14" i="111" s="1"/>
  <c r="E16" i="85" s="1"/>
  <c r="U20" i="87" l="1"/>
  <c r="G41" i="69"/>
  <c r="G11" i="71"/>
  <c r="I11" i="71" s="1"/>
  <c r="G55" i="76"/>
  <c r="I57" i="80"/>
  <c r="H166" i="46"/>
  <c r="H167" i="46" s="1"/>
  <c r="L16" i="85"/>
  <c r="X6" i="13" l="1"/>
  <c r="U31" i="87" s="1"/>
  <c r="I145" i="13"/>
  <c r="J145" i="13" s="1"/>
  <c r="E17" i="71"/>
  <c r="E21" i="71" s="1"/>
  <c r="E20" i="71" s="1"/>
  <c r="AM20" i="87"/>
  <c r="U21" i="87"/>
  <c r="U23" i="87" s="1"/>
  <c r="N1" i="13" l="1"/>
  <c r="AM31" i="87" s="1"/>
  <c r="I148" i="13"/>
  <c r="I236" i="13" s="1"/>
  <c r="I237" i="13" s="1"/>
  <c r="I239" i="13" s="1"/>
  <c r="G17" i="71"/>
  <c r="G21" i="71" s="1"/>
  <c r="G20" i="71" s="1"/>
  <c r="I17" i="71"/>
  <c r="I21" i="71" s="1"/>
  <c r="I20" i="71" s="1"/>
  <c r="AM21" i="87"/>
  <c r="L22" i="86"/>
  <c r="N22" i="86" s="1"/>
  <c r="D98" i="111"/>
  <c r="E35" i="85" s="1"/>
  <c r="E39" i="85" s="1"/>
  <c r="J148" i="13"/>
  <c r="U32" i="87"/>
  <c r="I241" i="13" l="1"/>
  <c r="I150" i="13"/>
  <c r="I154" i="13" s="1"/>
  <c r="I206" i="13" s="1"/>
  <c r="J150" i="13"/>
  <c r="J154" i="13" s="1"/>
  <c r="I226" i="13"/>
  <c r="I227" i="13" s="1"/>
  <c r="L35" i="85"/>
  <c r="L23" i="86"/>
  <c r="I203" i="13" s="1"/>
  <c r="AM23" i="87"/>
  <c r="N23" i="86"/>
  <c r="O72" i="72"/>
  <c r="L46" i="85" l="1"/>
  <c r="I202" i="13"/>
  <c r="I204" i="13" s="1"/>
  <c r="L25" i="86"/>
  <c r="AM32" i="87"/>
  <c r="J206" i="13"/>
  <c r="J202" i="13"/>
  <c r="J171" i="13"/>
  <c r="K16" i="72"/>
  <c r="K17" i="72" s="1"/>
  <c r="K20" i="72" s="1"/>
  <c r="K24" i="72" s="1"/>
  <c r="N25" i="86"/>
  <c r="J203" i="13"/>
  <c r="I207" i="13" l="1"/>
  <c r="I208" i="13" s="1"/>
  <c r="E13" i="71"/>
  <c r="J207" i="13"/>
  <c r="J208" i="13" s="1"/>
  <c r="I171" i="13"/>
  <c r="I172" i="13" s="1"/>
  <c r="J172" i="13"/>
  <c r="O71" i="72"/>
  <c r="O77" i="72"/>
  <c r="J204" i="13"/>
  <c r="J173" i="13" l="1"/>
  <c r="N77" i="86"/>
  <c r="N78" i="86" s="1"/>
  <c r="O78" i="72"/>
  <c r="K35" i="72" s="1"/>
  <c r="O80" i="72"/>
  <c r="K31" i="72" s="1"/>
  <c r="I173" i="13"/>
  <c r="L77" i="86"/>
  <c r="L78" i="86" s="1"/>
  <c r="K34" i="72"/>
  <c r="O74" i="72"/>
  <c r="G13" i="71"/>
  <c r="E15" i="71"/>
  <c r="E23" i="71"/>
  <c r="G23" i="71" l="1"/>
  <c r="G27" i="71" s="1"/>
  <c r="E27" i="71"/>
  <c r="G56" i="71" s="1"/>
  <c r="G58" i="71" s="1"/>
  <c r="I13" i="71"/>
  <c r="G15" i="71"/>
  <c r="O81" i="72"/>
  <c r="K32" i="72" s="1"/>
  <c r="R81" i="72"/>
  <c r="M32" i="72" s="1"/>
  <c r="T81" i="72"/>
  <c r="O32" i="72" s="1"/>
  <c r="K37" i="72"/>
  <c r="K38" i="72"/>
  <c r="I15" i="71" l="1"/>
  <c r="I23" i="71"/>
  <c r="I27" i="71" s="1"/>
  <c r="A20" i="85"/>
  <c r="A23" i="85" s="1"/>
  <c r="A24" i="85" s="1"/>
  <c r="A25" i="85" s="1"/>
  <c r="A26" i="85" s="1"/>
  <c r="A27" i="85" s="1"/>
  <c r="A28" i="85" s="1"/>
  <c r="A29" i="85" s="1"/>
  <c r="A30" i="85" s="1"/>
  <c r="A31" i="85" s="1"/>
  <c r="A32" i="85" s="1"/>
  <c r="A33" i="85" s="1"/>
  <c r="A34" i="85" s="1"/>
  <c r="A35" i="85" s="1"/>
  <c r="A36" i="85" s="1"/>
  <c r="A37" i="85" s="1"/>
  <c r="A39" i="85" s="1"/>
  <c r="A42" i="85" s="1"/>
  <c r="A43" i="85" s="1"/>
  <c r="A46" i="85" l="1"/>
  <c r="A44" i="85"/>
  <c r="L74" i="8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Liu</author>
  </authors>
  <commentList>
    <comment ref="G26" authorId="0" shapeId="0" xr:uid="{00000000-0006-0000-0B00-000001000000}">
      <text>
        <r>
          <rPr>
            <b/>
            <sz val="8"/>
            <color indexed="81"/>
            <rFont val="Tahoma"/>
            <family val="2"/>
          </rPr>
          <t>A Liu:</t>
        </r>
        <r>
          <rPr>
            <sz val="8"/>
            <color indexed="81"/>
            <rFont val="Tahoma"/>
            <family val="2"/>
          </rPr>
          <t xml:space="preserve">
Allowed as recovery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Ramirez, Rigo</author>
  </authors>
  <commentList>
    <comment ref="C58" authorId="0" shapeId="0" xr:uid="{C89854F9-81B0-43DF-B4F0-38E23AD7413B}">
      <text>
        <r>
          <rPr>
            <b/>
            <sz val="9"/>
            <color indexed="81"/>
            <rFont val="Tahoma"/>
            <family val="2"/>
          </rPr>
          <t>Ramirez, Rigo:</t>
        </r>
        <r>
          <rPr>
            <sz val="9"/>
            <color indexed="81"/>
            <rFont val="Tahoma"/>
            <family val="2"/>
          </rPr>
          <t xml:space="preserve">
Source: PowerTax Report 216L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ua03308</author>
  </authors>
  <commentList>
    <comment ref="E77" authorId="0" shapeId="0" xr:uid="{40FAB188-5FC2-4060-9D99-69F8E2BC5AB9}">
      <text>
        <r>
          <rPr>
            <b/>
            <sz val="8"/>
            <color indexed="81"/>
            <rFont val="Arial"/>
            <family val="2"/>
          </rPr>
          <t xml:space="preserve">FERC Form 1 P 112 12/31/19
Line 16 Total Proprietary Capital
 </t>
        </r>
      </text>
    </comment>
  </commentList>
</comments>
</file>

<file path=xl/sharedStrings.xml><?xml version="1.0" encoding="utf-8"?>
<sst xmlns="http://schemas.openxmlformats.org/spreadsheetml/2006/main" count="4426" uniqueCount="1951">
  <si>
    <t>Description</t>
  </si>
  <si>
    <t>Rate Base</t>
  </si>
  <si>
    <t>Operating Income Deficiency</t>
  </si>
  <si>
    <t>Variance</t>
  </si>
  <si>
    <t>UNS Gas, Inc.</t>
  </si>
  <si>
    <t>Accumulated Deferred Income Taxes</t>
  </si>
  <si>
    <t>Working Capital</t>
  </si>
  <si>
    <t>Total Adjustments</t>
  </si>
  <si>
    <t>Income Taxes</t>
  </si>
  <si>
    <t>Property Tax</t>
  </si>
  <si>
    <t>Bad Debt Expense</t>
  </si>
  <si>
    <t>Rate Case Expense</t>
  </si>
  <si>
    <t>Payroll Tax Expense</t>
  </si>
  <si>
    <t>Griffith Plant Operations</t>
  </si>
  <si>
    <t>Attorney/Client Privilege - Work Paper</t>
  </si>
  <si>
    <t xml:space="preserve">Total All Adjustments    = </t>
  </si>
  <si>
    <t>Total</t>
  </si>
  <si>
    <t xml:space="preserve">Impact on Rate Base   = </t>
  </si>
  <si>
    <t>FERC
Account</t>
  </si>
  <si>
    <t>Rate Base - Original Cost</t>
  </si>
  <si>
    <t>Total Plant in Service - All</t>
  </si>
  <si>
    <t>Total Accum. Depreciation &amp; Amortization - All</t>
  </si>
  <si>
    <t>N/A</t>
  </si>
  <si>
    <t>Cash Working Capital</t>
  </si>
  <si>
    <t>154, 163</t>
  </si>
  <si>
    <t>Materials &amp; Supplies</t>
  </si>
  <si>
    <t>Prepayments</t>
  </si>
  <si>
    <t>Total Working Capital</t>
  </si>
  <si>
    <t>Less: Customer Contributions</t>
  </si>
  <si>
    <t>Customer Advances for Construction</t>
  </si>
  <si>
    <t>Customer Deposits</t>
  </si>
  <si>
    <t>Total Contributions</t>
  </si>
  <si>
    <t>SUBTOTAL RATE BASE</t>
  </si>
  <si>
    <t>Other Rate Base</t>
  </si>
  <si>
    <t>Total Other Rate Base</t>
  </si>
  <si>
    <t>Less: Accumulated Deferred Taxes (ADIT)</t>
  </si>
  <si>
    <t>ADIT</t>
  </si>
  <si>
    <t>ADIT - Other Property</t>
  </si>
  <si>
    <t>ADIT - Other</t>
  </si>
  <si>
    <t>Total Accumulated Deferred Taxes (ADIT)</t>
  </si>
  <si>
    <t>TOTAL RATE BASE</t>
  </si>
  <si>
    <t>Rate Base Excl. Cash WC</t>
  </si>
  <si>
    <t>Balance</t>
  </si>
  <si>
    <t>Grand Total</t>
  </si>
  <si>
    <t>Operating Revenues</t>
  </si>
  <si>
    <t>Total Retail Revenue</t>
  </si>
  <si>
    <t>Transmission</t>
  </si>
  <si>
    <t>Transmission Expense</t>
  </si>
  <si>
    <t>Distribution</t>
  </si>
  <si>
    <t>Distribution Expense</t>
  </si>
  <si>
    <t>Depreciation and Amortization</t>
  </si>
  <si>
    <t>Taxes Other Than Income Taxes</t>
  </si>
  <si>
    <t>Retail Revenue</t>
  </si>
  <si>
    <t>Total Of Income Statement Adjustments    =</t>
  </si>
  <si>
    <t xml:space="preserve">Impact on Operating Income   = </t>
  </si>
  <si>
    <t xml:space="preserve">Revenues &amp; Expenses </t>
  </si>
  <si>
    <t>480/481/482</t>
  </si>
  <si>
    <t>Net Sales to Ultimate Customers</t>
  </si>
  <si>
    <t>Transportation of Gas</t>
  </si>
  <si>
    <t>Other Operating Revenue</t>
  </si>
  <si>
    <t>Forfeited Discounts (Late Fees)</t>
  </si>
  <si>
    <t xml:space="preserve">Total Other Operating Revenue  </t>
  </si>
  <si>
    <t>Purchased Gas Expense</t>
  </si>
  <si>
    <t>Purchased Gas Cost Expenses</t>
  </si>
  <si>
    <t>Mains Expense</t>
  </si>
  <si>
    <t>Measuring and Regulating Station</t>
  </si>
  <si>
    <t>Maintenance of Compressor Station Equipment</t>
  </si>
  <si>
    <t>Operation Supervision and Engineering</t>
  </si>
  <si>
    <t>Distribution Load Dispatching</t>
  </si>
  <si>
    <t>Mains and Services</t>
  </si>
  <si>
    <t>Measuring and Regulating Station - Industrial</t>
  </si>
  <si>
    <t>Measuring and Regulating Station - City Gate Check Stations</t>
  </si>
  <si>
    <t>Meter and House Regulator</t>
  </si>
  <si>
    <t>Customer Installations</t>
  </si>
  <si>
    <t>Other Expenses</t>
  </si>
  <si>
    <t>Rents</t>
  </si>
  <si>
    <t>Maintenance Supervision &amp; Engineering</t>
  </si>
  <si>
    <t>Maintenance of Mains</t>
  </si>
  <si>
    <t>Maintenance of Services</t>
  </si>
  <si>
    <t>Maintenance of Meters and House Regulators</t>
  </si>
  <si>
    <t>Maintenance of Other Equipment</t>
  </si>
  <si>
    <t>Customer Account Expense</t>
  </si>
  <si>
    <t>Supervision</t>
  </si>
  <si>
    <t>Meter Reading</t>
  </si>
  <si>
    <t xml:space="preserve">Customer Records and Collection </t>
  </si>
  <si>
    <t xml:space="preserve">Miscellaneous Customer Accounts </t>
  </si>
  <si>
    <t>Supervision - Customer Service</t>
  </si>
  <si>
    <t>Customer Assistance</t>
  </si>
  <si>
    <t>Informational and Instructional Advertising</t>
  </si>
  <si>
    <t>Miscellaneous Customer Service and Informational</t>
  </si>
  <si>
    <t>Administrative and General Expense</t>
  </si>
  <si>
    <t>Administrative and General Salaries</t>
  </si>
  <si>
    <t>Administrative Expenses Transferred - Credit</t>
  </si>
  <si>
    <t>Property Insurance</t>
  </si>
  <si>
    <t>Injuries and Damages</t>
  </si>
  <si>
    <t>Miscellaneous General Expenses</t>
  </si>
  <si>
    <t>Maintenance of General Plant</t>
  </si>
  <si>
    <t>Total Operation and Maintenance Expense</t>
  </si>
  <si>
    <t>Intangible Plant Depreciation Expense</t>
  </si>
  <si>
    <t>Franchises and Consents</t>
  </si>
  <si>
    <t>Miscellaneous Intangible Plant</t>
  </si>
  <si>
    <t>Total Intangible Plant Depreciation Expense</t>
  </si>
  <si>
    <t xml:space="preserve">Transmission Plant Depreciation Expense                     </t>
  </si>
  <si>
    <t>Land and Land Rights</t>
  </si>
  <si>
    <t>Structures &amp; Improvements</t>
  </si>
  <si>
    <t xml:space="preserve">Mains </t>
  </si>
  <si>
    <t>Measuring and Reg. Station Equipment</t>
  </si>
  <si>
    <t>Other Equipment</t>
  </si>
  <si>
    <t>Total Transmission Depreciation</t>
  </si>
  <si>
    <t>Distribution Plant Depreciation Expense</t>
  </si>
  <si>
    <t>Mains</t>
  </si>
  <si>
    <t>Meas. and Reg. Station Equipment - General</t>
  </si>
  <si>
    <t>Meas. and Reg. Station Equipment - City Gate Check Station</t>
  </si>
  <si>
    <t>Services</t>
  </si>
  <si>
    <t>Meters</t>
  </si>
  <si>
    <t>Meter Installations</t>
  </si>
  <si>
    <t>House Regulators</t>
  </si>
  <si>
    <t>House Regulatory Installations</t>
  </si>
  <si>
    <t>Industrial Meas. &amp; Reg. Station Equipment</t>
  </si>
  <si>
    <t>Total All Distribution Depreciation Expense</t>
  </si>
  <si>
    <t>General Plant Depreciation Expense</t>
  </si>
  <si>
    <t>Land and Rights</t>
  </si>
  <si>
    <t>Office Furniture and Equipment</t>
  </si>
  <si>
    <t>Transportation Equipment</t>
  </si>
  <si>
    <t>Stores Equipment</t>
  </si>
  <si>
    <t>Tools, Shop and Garage Equipment</t>
  </si>
  <si>
    <t>Laboratory Equipment</t>
  </si>
  <si>
    <t>Power Operated Equipment</t>
  </si>
  <si>
    <t>Communication Equipment</t>
  </si>
  <si>
    <t>Miscellaneous Equipment</t>
  </si>
  <si>
    <t>Total General Plant Depreciation Expense</t>
  </si>
  <si>
    <t>Depreciation and Amortization - All</t>
  </si>
  <si>
    <t>403/404/406/407</t>
  </si>
  <si>
    <t>Intangible Plant</t>
  </si>
  <si>
    <t>403/404/406</t>
  </si>
  <si>
    <t>Transmission Plant</t>
  </si>
  <si>
    <t>Distribution Plant</t>
  </si>
  <si>
    <t>General Plant</t>
  </si>
  <si>
    <t>Total Depreciation and Amortization - All</t>
  </si>
  <si>
    <t>Total Taxes Other Than Income Taxes</t>
  </si>
  <si>
    <t>Interest on Customer Deposits</t>
  </si>
  <si>
    <t>Total Interest on Customer Deposits</t>
  </si>
  <si>
    <t>Current Income Tax - State &amp; Federal</t>
  </si>
  <si>
    <t xml:space="preserve">Deferred IT - Federal &amp; State (debits) </t>
  </si>
  <si>
    <t>Deferred IT - Federal &amp; State (credits)</t>
  </si>
  <si>
    <t>Total Taxes</t>
  </si>
  <si>
    <t>Total Operating Expense - Excluding Income Taxes</t>
  </si>
  <si>
    <t>Total Operating Expense - Including Taxes</t>
  </si>
  <si>
    <t>Cost of Capital</t>
  </si>
  <si>
    <t>Debt</t>
  </si>
  <si>
    <t>Equity</t>
  </si>
  <si>
    <t>Unadjusted</t>
  </si>
  <si>
    <t>Adjusted</t>
  </si>
  <si>
    <t>Total Operating Revenues</t>
  </si>
  <si>
    <t>Total Operating Expenses</t>
  </si>
  <si>
    <t>Net Operating Income</t>
  </si>
  <si>
    <t>Reconciliation to IS Detail - Unadjusted</t>
  </si>
  <si>
    <t>Inc Stmt</t>
  </si>
  <si>
    <t>Rev Req</t>
  </si>
  <si>
    <t>Other Operating Revenues</t>
  </si>
  <si>
    <t>Other Operating Expense</t>
  </si>
  <si>
    <t>Total O&amp;M</t>
  </si>
  <si>
    <t>Depreciation &amp; Amortization Expense</t>
  </si>
  <si>
    <t>Operating Income before Income Taxes</t>
  </si>
  <si>
    <t>Operating Income after Income Taxes</t>
  </si>
  <si>
    <t>Total Checks to Schedule C-1</t>
  </si>
  <si>
    <t>Adjustments</t>
  </si>
  <si>
    <t>Model - Operating Revenues</t>
  </si>
  <si>
    <t>Sch C - Operating Revenues</t>
  </si>
  <si>
    <t>Model - Operating Expenses</t>
  </si>
  <si>
    <t>Sch C - Operating Expenses</t>
  </si>
  <si>
    <t>Model - Operating Income</t>
  </si>
  <si>
    <t>Sch C - Operating Income</t>
  </si>
  <si>
    <t>Income Tax Expense Calculation check:</t>
  </si>
  <si>
    <t>Adjusted Revenues</t>
  </si>
  <si>
    <t>Less: Adj Operating Expenses before Taxes</t>
  </si>
  <si>
    <t>Less: Synchronized Interest</t>
  </si>
  <si>
    <t>Tax Rate</t>
  </si>
  <si>
    <t>Less: Tax Credits</t>
  </si>
  <si>
    <t>Adjusted Income Tax Expense</t>
  </si>
  <si>
    <t>Adjusted as Calculcated</t>
  </si>
  <si>
    <t xml:space="preserve"> </t>
  </si>
  <si>
    <t>Rev</t>
  </si>
  <si>
    <t>O&amp;M</t>
  </si>
  <si>
    <t>Depr</t>
  </si>
  <si>
    <t>Other Taxes</t>
  </si>
  <si>
    <t>Net Adjustments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</si>
  <si>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</si>
  <si>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</si>
  <si>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</si>
  <si>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</si>
  <si>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</si>
  <si>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</si>
  <si>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</si>
  <si>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</si>
  <si>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</si>
  <si>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</si>
  <si>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</si>
  <si>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</si>
  <si>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</si>
  <si>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Total Transmission Expense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</si>
  <si>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</si>
  <si>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</si>
  <si>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</si>
  <si>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</si>
  <si>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</si>
  <si>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</si>
  <si>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</si>
  <si>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</si>
  <si>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</si>
  <si>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</si>
  <si>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</si>
  <si>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A26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</si>
  <si>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</si>
  <si>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</si>
  <si>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</si>
  <si>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</si>
  <si>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</si>
  <si>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</si>
  <si>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</si>
  <si>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</si>
  <si>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</si>
  <si>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</si>
  <si>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</si>
  <si>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</si>
  <si>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</si>
  <si>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</si>
  <si>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</si>
  <si>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</si>
  <si>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</si>
  <si>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</si>
  <si>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</si>
  <si>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</si>
  <si>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</si>
  <si>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</si>
  <si>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</si>
  <si>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</si>
  <si>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Total Administrative &amp; General Expense</t>
  </si>
  <si>
    <t>A53</t>
  </si>
  <si>
    <t>A54</t>
  </si>
  <si>
    <t>A58</t>
  </si>
  <si>
    <t>A59</t>
  </si>
  <si>
    <t>A60</t>
  </si>
  <si>
    <t>Intangible</t>
  </si>
  <si>
    <t>Total Operating Revenue</t>
  </si>
  <si>
    <t xml:space="preserve">Purchased Gas Expense </t>
  </si>
  <si>
    <t xml:space="preserve">Outside Services Employed    </t>
  </si>
  <si>
    <t>Employee Pension and Benefits</t>
  </si>
  <si>
    <t>Office Supplies and Expenses</t>
  </si>
  <si>
    <t>Total Purchased Gas Expense</t>
  </si>
  <si>
    <t>Measuring and Regulating Station - General</t>
  </si>
  <si>
    <t>Maint. of Measuring &amp; Regulating Station Equipment - General</t>
  </si>
  <si>
    <t xml:space="preserve">Total Distribution Expense </t>
  </si>
  <si>
    <t xml:space="preserve">    Acct. 303  Misc. Intangible Plant</t>
  </si>
  <si>
    <t xml:space="preserve">    Acct. 371  Other Equipment</t>
  </si>
  <si>
    <t xml:space="preserve">    Acct. 387  Other Work Equipment</t>
  </si>
  <si>
    <t xml:space="preserve">    Acct. 389  Land Rights</t>
  </si>
  <si>
    <t xml:space="preserve">    Acct. 398  Misc. Equipment</t>
  </si>
  <si>
    <t xml:space="preserve">    Acct. 374  Land Rights of Way</t>
  </si>
  <si>
    <t xml:space="preserve">    Acct. 374  Easements</t>
  </si>
  <si>
    <t>Total Intangible Plant</t>
  </si>
  <si>
    <t>Total Transmission Plant</t>
  </si>
  <si>
    <t>Total Distribution Plant</t>
  </si>
  <si>
    <t>Total General Plant</t>
  </si>
  <si>
    <t>H-W Index*</t>
  </si>
  <si>
    <t>Base</t>
  </si>
  <si>
    <t>Current</t>
  </si>
  <si>
    <t>Contract Year</t>
  </si>
  <si>
    <t>Year</t>
  </si>
  <si>
    <t>Index</t>
  </si>
  <si>
    <t>RCN</t>
  </si>
  <si>
    <t>Total Customer Advances</t>
  </si>
  <si>
    <r>
      <t>RCN Ratio</t>
    </r>
    <r>
      <rPr>
        <sz val="10"/>
        <rFont val="Arial"/>
        <family val="2"/>
      </rPr>
      <t xml:space="preserve">    \1</t>
    </r>
  </si>
  <si>
    <t>Plant in Service</t>
  </si>
  <si>
    <t>Plant in Service - All</t>
  </si>
  <si>
    <t>101/114</t>
  </si>
  <si>
    <t>Less: Accumulated Depreciation</t>
  </si>
  <si>
    <t>Intangible Plant Accumulated Depreciation</t>
  </si>
  <si>
    <t>Franchises &amp; Consents</t>
  </si>
  <si>
    <t>Miscellaneous Intangible Plant (Software)</t>
  </si>
  <si>
    <t>Total Intangible Plant Accumulated Depreciation</t>
  </si>
  <si>
    <t xml:space="preserve">Transmission Plant Accumulated Depreciation                </t>
  </si>
  <si>
    <t>Land &amp; Land Rights</t>
  </si>
  <si>
    <t>Total Transmission Plant Accumulated Depreciation</t>
  </si>
  <si>
    <t xml:space="preserve">Distribution Plant Accumulated Depreciation                  </t>
  </si>
  <si>
    <t>Land &amp; Rights</t>
  </si>
  <si>
    <t>Measuring and Regulating</t>
  </si>
  <si>
    <t>Measuring and Regulating - City Gas</t>
  </si>
  <si>
    <t>Regulators</t>
  </si>
  <si>
    <t>Regulator Installations</t>
  </si>
  <si>
    <t>Industrial Measuring &amp; Regulating</t>
  </si>
  <si>
    <t>Total Distribution Plant Accumulated Depreciation</t>
  </si>
  <si>
    <t xml:space="preserve">General Plant Accumulated Depreciation                       </t>
  </si>
  <si>
    <t>Office Furniture &amp; Equipment</t>
  </si>
  <si>
    <t>Tools, Shop, &amp; Garage Equipment</t>
  </si>
  <si>
    <t>Total General Plant Accumulated Depreciation</t>
  </si>
  <si>
    <t>Accumulated Depreciation &amp; Amortization - All</t>
  </si>
  <si>
    <t>108/115</t>
  </si>
  <si>
    <t>Intangible Plant Accum. Depreciation &amp; Amortization</t>
  </si>
  <si>
    <t>Transmission Plant Accum. Depreciation &amp; Amortization</t>
  </si>
  <si>
    <t>Distribution Plant Accum. Depreciation &amp; Amortization</t>
  </si>
  <si>
    <t>General Plant Accum. Depreciation &amp; Amortization</t>
  </si>
  <si>
    <t>Net Plant in Service - All</t>
  </si>
  <si>
    <t>Total Net Plant in Service - All</t>
  </si>
  <si>
    <t>Total Checks to Schedule B-2 Original Cost</t>
  </si>
  <si>
    <t>Model - Plant in Service</t>
  </si>
  <si>
    <t>Sch B - Plant in Service</t>
  </si>
  <si>
    <t>Model - Accum. Depreciation</t>
  </si>
  <si>
    <t>Sch B - Accum. Depreciation</t>
  </si>
  <si>
    <t>Model - Net Plant in Service</t>
  </si>
  <si>
    <t>Sch B - Net Plant in Service</t>
  </si>
  <si>
    <t>Model - Rate Base</t>
  </si>
  <si>
    <t>Sch B - Rate Base</t>
  </si>
  <si>
    <t>Rate Base - Fair Value</t>
  </si>
  <si>
    <t>Rate Base - RCN</t>
  </si>
  <si>
    <t>RCN Ratio for ADIT</t>
  </si>
  <si>
    <t>Total Checks to Schedule B-3 RCND</t>
  </si>
  <si>
    <t>Uncollectible Accounts</t>
  </si>
  <si>
    <t>Total Income Taxes</t>
  </si>
  <si>
    <t>Interest</t>
  </si>
  <si>
    <t>Check</t>
  </si>
  <si>
    <t>Income Tax</t>
  </si>
  <si>
    <t>Sales for Resale</t>
  </si>
  <si>
    <t>Golden Valley Pipeline Operations</t>
  </si>
  <si>
    <t>Purchased Gas Cost and Gas Cost Revenue</t>
  </si>
  <si>
    <t xml:space="preserve">Injuries &amp; Damages </t>
  </si>
  <si>
    <t>Griffith Plant</t>
  </si>
  <si>
    <t>Golden Valley Pipeline</t>
  </si>
  <si>
    <t xml:space="preserve">Total Customer Accounts Expense </t>
  </si>
  <si>
    <t>Operating Income</t>
  </si>
  <si>
    <t>Adjusted Test Year Income Statement</t>
  </si>
  <si>
    <t>Line</t>
  </si>
  <si>
    <t>Pro Forma</t>
  </si>
  <si>
    <t>No.</t>
  </si>
  <si>
    <t>Unadjusted (a)</t>
  </si>
  <si>
    <t>Adjustments (b)</t>
  </si>
  <si>
    <t>Operating Expenses</t>
  </si>
  <si>
    <t>Other Operations and Maintenance Expense</t>
  </si>
  <si>
    <t>Taxes Other than Income Taxes</t>
  </si>
  <si>
    <t>RCND</t>
  </si>
  <si>
    <t>Sum</t>
  </si>
  <si>
    <t>Avg</t>
  </si>
  <si>
    <t>Final FV</t>
  </si>
  <si>
    <t>Lookup Code</t>
  </si>
  <si>
    <t>All Locations</t>
  </si>
  <si>
    <t>Plant in Service Summary</t>
  </si>
  <si>
    <t>Total Plant in Service Summary</t>
  </si>
  <si>
    <t>FC_Utility_Plant</t>
  </si>
  <si>
    <t>Utility Plant (101-106, 114)</t>
  </si>
  <si>
    <t>FC_105</t>
  </si>
  <si>
    <t>Less: Plant Held for Future Use</t>
  </si>
  <si>
    <t>Adjusted FERC Form I Balance</t>
  </si>
  <si>
    <t>Difference</t>
  </si>
  <si>
    <t>Transmission Plant Accumulated Depreciation</t>
  </si>
  <si>
    <t>Distribution Plant Accumulated Depreciation</t>
  </si>
  <si>
    <t>General Plant Accumulated Depreciation</t>
  </si>
  <si>
    <t>Accumulated Depreciation Summary</t>
  </si>
  <si>
    <t>Total Accumulated Depreciation Summary</t>
  </si>
  <si>
    <t>FC_Accum_Prov</t>
  </si>
  <si>
    <t>Accum Prov for Depr and Amort (108, 110, 111, 115)</t>
  </si>
  <si>
    <t>0108_28440</t>
  </si>
  <si>
    <t>Less: ARO Obligation Net Salvage Value</t>
  </si>
  <si>
    <t>1081_16940</t>
  </si>
  <si>
    <t>Less: Asset Retirement Cost - Salvage</t>
  </si>
  <si>
    <t>Net Plant in Service</t>
  </si>
  <si>
    <t>Total Net Plant in Service</t>
  </si>
  <si>
    <t>UNS Gas Inc.</t>
  </si>
  <si>
    <t/>
  </si>
  <si>
    <t>and</t>
  </si>
  <si>
    <t>FC_101_106G302_SP Franchise and ConsentsAll Locations</t>
  </si>
  <si>
    <t>FC_101_106G303_SP Miscellaneous Intangible PlantAll Locations</t>
  </si>
  <si>
    <t>FC_101_106G365_SP Land and Land RightsAll Locations</t>
  </si>
  <si>
    <t>FC_101_106G366_SP Structures and ImprovementsAll Locations</t>
  </si>
  <si>
    <t>FC_101_106G367_SP MainsAll Locations</t>
  </si>
  <si>
    <t>FC_101_106G369_SP Measuring and Regulating Station EquipmentAll Locations</t>
  </si>
  <si>
    <t>FC_101_106G371_SP Other EquipmentAll Locations</t>
  </si>
  <si>
    <t>FC_101_106G374_SP Land and Land RightsAll Locations</t>
  </si>
  <si>
    <t>FC_101_106G375_SP Structures and ImprovementsAll Locations</t>
  </si>
  <si>
    <t>FC_101_106G376_SP MainsAll Locations</t>
  </si>
  <si>
    <t>FC_101_106G378_SP Measuring and Regulating Station Equipment-GenAll Locations</t>
  </si>
  <si>
    <t>FC_101_106G379_SP Measuring and Regulating Station Equipment-CityAll Locations</t>
  </si>
  <si>
    <t>FC_101_106G380_SP ServicesAll Locations</t>
  </si>
  <si>
    <t>FC_101_106G381_SP MetersAll Locations</t>
  </si>
  <si>
    <t>FC_101_106G382_SP Meter InstallationsAll Locations</t>
  </si>
  <si>
    <t>FC_101_106G383_SP House RegulatorsAll Locations</t>
  </si>
  <si>
    <t>FC_101_106G384_SP House Regulatory InstallationsAll Locations</t>
  </si>
  <si>
    <t>FC_101_106G385_SP Industrial Measuring Regulating Station EquipmentAll Locations</t>
  </si>
  <si>
    <t>FC_101_106G387_SP Other EquipmentAll Locations</t>
  </si>
  <si>
    <t>FC_101_106G389_SP Land and Land RightsAll Locations</t>
  </si>
  <si>
    <t>FC_101_106G390_SP Structures and ImprovementsAll Locations</t>
  </si>
  <si>
    <t>FC_101_106G391_SP Office Furniture and EquipmentAll Locations</t>
  </si>
  <si>
    <t>FC_101_106G392_SP Transportation EquipmentAll Locations</t>
  </si>
  <si>
    <t>FC_101_106G393_SP Stores EquipmentAll Locations</t>
  </si>
  <si>
    <t>FC_101_106G394_SP Tools - Shop and Garage EquipmentAll Locations</t>
  </si>
  <si>
    <t>FC_101_106G395_SP Laboratory EquipmentAll Locations</t>
  </si>
  <si>
    <t>FC_101_106G396_SP Power Operated EquipmentAll Locations</t>
  </si>
  <si>
    <t>FC_101_106G397_SP Communication EquipmentAll Locations</t>
  </si>
  <si>
    <t>FC_101_106G398_SP Miscellaneous EquipmentAll Locations</t>
  </si>
  <si>
    <t>FC_108_111G302_SP Franchise and ConsentsAll Locations</t>
  </si>
  <si>
    <t>FC_108_111G303_SP Miscellaneous Intangible PlantAll Locations</t>
  </si>
  <si>
    <t>FC_108_111G365_SP Land and Land RightsAll Locations</t>
  </si>
  <si>
    <t>FC_108_111G366_SP Structures and ImprovementsAll Locations</t>
  </si>
  <si>
    <t>FC_108_111G367_SP MainsAll Locations</t>
  </si>
  <si>
    <t>FC_108_111G369_SP Measuring and Regulating Station EquipmentAll Locations</t>
  </si>
  <si>
    <t>FC_108_111G371_SP Other EquipmentAll Locations</t>
  </si>
  <si>
    <t>FC_108_111G374_SP Land and Land RightsAll Locations</t>
  </si>
  <si>
    <t>FC_108_111G375_SP Structures and ImprovementsAll Locations</t>
  </si>
  <si>
    <t>FC_108_111G376_SP MainsAll Locations</t>
  </si>
  <si>
    <t>FC_108_111G378_SP Measuring and Regulating Station Equipment-GenAll Locations</t>
  </si>
  <si>
    <t>FC_108_111G379_SP Measuring and Regulating Station Equipment-CityAll Locations</t>
  </si>
  <si>
    <t>FC_108_111G380_SP ServicesAll Locations</t>
  </si>
  <si>
    <t>FC_108_111G381_SP MetersAll Locations</t>
  </si>
  <si>
    <t>FC_108_111G382_SP Meter InstallationsAll Locations</t>
  </si>
  <si>
    <t>FC_108_111G383_SP House RegulatorsAll Locations</t>
  </si>
  <si>
    <t>FC_108_111G384_SP House Regulatory InstallationsAll Locations</t>
  </si>
  <si>
    <t>FC_108_111G385_SP Industrial Measuring Regulating Station EquipmentAll Locations</t>
  </si>
  <si>
    <t>FC_108_111G387_SP Other EquipmentAll Locations</t>
  </si>
  <si>
    <t>FC_108_111G390_SP Structures and ImprovementsAll Locations</t>
  </si>
  <si>
    <t>FC_108_111G391_SP Office Furniture and EquipmentAll Locations</t>
  </si>
  <si>
    <t>FC_108_111G392_SP Transportation EquipmentAll Locations</t>
  </si>
  <si>
    <t>FC_108_111G393_SP Stores EquipmentAll Locations</t>
  </si>
  <si>
    <t>FC_108_111G394_SP Tools - Shop and Garage EquipmentAll Locations</t>
  </si>
  <si>
    <t>FC_108_111G395_SP Laboratory EquipmentAll Locations</t>
  </si>
  <si>
    <t>FC_108_111G396_SP Power Operated EquipmentAll Locations</t>
  </si>
  <si>
    <t>FC_108_111G397_SP Communication EquipmentAll Locations</t>
  </si>
  <si>
    <t>FC_108_111G398_SP Miscellaneous EquipmentAll Locations</t>
  </si>
  <si>
    <t>FC_108_111G389_SP Structures and ImprovementsAll Locations</t>
  </si>
  <si>
    <t>Regulatory Liabilities</t>
  </si>
  <si>
    <t>Regulatory Assets</t>
  </si>
  <si>
    <t>Comparative Balance Sheet</t>
  </si>
  <si>
    <t>December</t>
  </si>
  <si>
    <t>UTILITY PLANT</t>
  </si>
  <si>
    <t>OTHER PROPERTY AND INVESTMENTS</t>
  </si>
  <si>
    <t>Total Other Property and Investments</t>
  </si>
  <si>
    <t>CURRENT AND ACCRUED ASSETS</t>
  </si>
  <si>
    <t>(Less) Long-Term Portion of Derivative Instrument Assets (175)</t>
  </si>
  <si>
    <t>Total Current and Accrued Assets</t>
  </si>
  <si>
    <t>DEFERRED DEBITS</t>
  </si>
  <si>
    <t>PROPIETARY CAPITAL</t>
  </si>
  <si>
    <t>LONG-TERM DEBT</t>
  </si>
  <si>
    <t>OTHER NONCURRENT LIABILITIES</t>
  </si>
  <si>
    <t>Total Other Noncurrent Liabilities</t>
  </si>
  <si>
    <t>CURRENT AND ACCRUED LIABILITIES</t>
  </si>
  <si>
    <t>(Less) Long-Term Portion of Derivative Instrument Liabilities</t>
  </si>
  <si>
    <t>Total Current and Accrued Liabilities</t>
  </si>
  <si>
    <t>DEFERRED CREDITS</t>
  </si>
  <si>
    <t>Misc. Intangible Plant</t>
  </si>
  <si>
    <t>House Regulator Installations</t>
  </si>
  <si>
    <t>VLOOKUP</t>
  </si>
  <si>
    <t>UTILITY OPERATING INCOME</t>
  </si>
  <si>
    <t>ALLSERVICE_PRODUCT</t>
  </si>
  <si>
    <t>ALLSUB_ACCOUNT</t>
  </si>
  <si>
    <t>OPERATING AND MAINTENANCE EXPENSES</t>
  </si>
  <si>
    <t>G365_SP</t>
  </si>
  <si>
    <t>G366_SP</t>
  </si>
  <si>
    <t>G367_SP</t>
  </si>
  <si>
    <t>G369_SP</t>
  </si>
  <si>
    <t>G371_SP</t>
  </si>
  <si>
    <t>G374_SP</t>
  </si>
  <si>
    <t>G375_SP</t>
  </si>
  <si>
    <t>G376_SP</t>
  </si>
  <si>
    <t>G378_SP</t>
  </si>
  <si>
    <t>G379_SP</t>
  </si>
  <si>
    <t>G380_SP</t>
  </si>
  <si>
    <t>G381_SP</t>
  </si>
  <si>
    <t>G382_SP</t>
  </si>
  <si>
    <t>G383_SP</t>
  </si>
  <si>
    <t>G384_SP</t>
  </si>
  <si>
    <t>G385_SP</t>
  </si>
  <si>
    <t>G387_SP</t>
  </si>
  <si>
    <t>G390_SP</t>
  </si>
  <si>
    <t>G391_SP</t>
  </si>
  <si>
    <t>G393_SP</t>
  </si>
  <si>
    <t>G394_SP</t>
  </si>
  <si>
    <t>G395_SP</t>
  </si>
  <si>
    <t>G396_SP</t>
  </si>
  <si>
    <t>G397_SP</t>
  </si>
  <si>
    <t>G398_SP</t>
  </si>
  <si>
    <t>0000_SP</t>
  </si>
  <si>
    <t>G302_SP</t>
  </si>
  <si>
    <t>G303_SP</t>
  </si>
  <si>
    <t>G389_SP</t>
  </si>
  <si>
    <t>NONUTILITY OPERATING INCOME</t>
  </si>
  <si>
    <t>OTHER INCOME DEDUCTIONS</t>
  </si>
  <si>
    <t>TAXES APPL TO OTHER INCOME AND DEDUCTIONS</t>
  </si>
  <si>
    <t>INTEREST CHARGES</t>
  </si>
  <si>
    <t>EXTRAORDINARY ITEMS</t>
  </si>
  <si>
    <t>Regulatory liabilities</t>
  </si>
  <si>
    <t>Not Used</t>
  </si>
  <si>
    <t>VLOOKUP FORMULA</t>
  </si>
  <si>
    <t>Other (Including Payroll Taxes)</t>
  </si>
  <si>
    <t>GL - Balance - DWH</t>
  </si>
  <si>
    <t>GL Period Name</t>
  </si>
  <si>
    <t>Acct</t>
  </si>
  <si>
    <t>Acct Name</t>
  </si>
  <si>
    <t>Sub Acct</t>
  </si>
  <si>
    <t>SubAcct Name</t>
  </si>
  <si>
    <t>Ending Balance</t>
  </si>
  <si>
    <t>Per IS</t>
  </si>
  <si>
    <t>Customer Deposit Interest</t>
  </si>
  <si>
    <t>CO</t>
  </si>
  <si>
    <t>2535</t>
  </si>
  <si>
    <t>Inc Tax Recov/Payable - Future Rates</t>
  </si>
  <si>
    <t>18190</t>
  </si>
  <si>
    <t>Other Regulatory Deferrals</t>
  </si>
  <si>
    <t>4027</t>
  </si>
  <si>
    <t>UES Pension Plan</t>
  </si>
  <si>
    <t>Total Regulatory Assets to Rate Base Original Cost Schedule - Unadjusted</t>
  </si>
  <si>
    <t>Total Regulatory Liabilities to Rate Base Original Cost Schedule - Unadjusted</t>
  </si>
  <si>
    <t>01.302</t>
  </si>
  <si>
    <t>01.303</t>
  </si>
  <si>
    <t>01.365</t>
  </si>
  <si>
    <t>01.366</t>
  </si>
  <si>
    <t>01.367</t>
  </si>
  <si>
    <t>01.369</t>
  </si>
  <si>
    <t>01.371</t>
  </si>
  <si>
    <t>01.374</t>
  </si>
  <si>
    <t>01.375</t>
  </si>
  <si>
    <t>01.376</t>
  </si>
  <si>
    <t>01.378</t>
  </si>
  <si>
    <t>01.379</t>
  </si>
  <si>
    <t>01.380</t>
  </si>
  <si>
    <t>01.381</t>
  </si>
  <si>
    <t>01.382</t>
  </si>
  <si>
    <t>01.383</t>
  </si>
  <si>
    <t>01.384</t>
  </si>
  <si>
    <t>01.385</t>
  </si>
  <si>
    <t>01.387</t>
  </si>
  <si>
    <t>01.389</t>
  </si>
  <si>
    <t>01.390</t>
  </si>
  <si>
    <t>01.391</t>
  </si>
  <si>
    <t>01.392</t>
  </si>
  <si>
    <t>01.393</t>
  </si>
  <si>
    <t>01.394</t>
  </si>
  <si>
    <t>01.395</t>
  </si>
  <si>
    <t>01.396</t>
  </si>
  <si>
    <t>01.397</t>
  </si>
  <si>
    <t>01.398</t>
  </si>
  <si>
    <t>UNS Gas</t>
  </si>
  <si>
    <t>RCND-Orginal Costs</t>
  </si>
  <si>
    <t>0000_SA</t>
  </si>
  <si>
    <t>5762_SA</t>
  </si>
  <si>
    <t>5761_SA</t>
  </si>
  <si>
    <t>5768_SA</t>
  </si>
  <si>
    <t>Acct, SubAcct</t>
  </si>
  <si>
    <t>28180</t>
  </si>
  <si>
    <t>Gross Plant</t>
  </si>
  <si>
    <t xml:space="preserve">A/D </t>
  </si>
  <si>
    <t>Net Plant</t>
  </si>
  <si>
    <t>Diff=HFFU</t>
  </si>
  <si>
    <t>RB Original (Acq Adj is Netted in A/D)</t>
  </si>
  <si>
    <t>Acq Adj is Netted in A/D</t>
  </si>
  <si>
    <t>Manual Input</t>
  </si>
  <si>
    <t>Lookup</t>
  </si>
  <si>
    <t>Calculation</t>
  </si>
  <si>
    <t>Internal Link</t>
  </si>
  <si>
    <t>HYPERION REPORT NAME:</t>
  </si>
  <si>
    <t>Coding01</t>
  </si>
  <si>
    <t>Coding14</t>
  </si>
  <si>
    <t>FERC Acct No.</t>
  </si>
  <si>
    <t>Accum Deprn as a Percentage of Original Cost</t>
  </si>
  <si>
    <t>Original Cost Net Book Value</t>
  </si>
  <si>
    <t>Intangible Plant:</t>
  </si>
  <si>
    <t>14.302</t>
  </si>
  <si>
    <t xml:space="preserve">    Acct. 302</t>
  </si>
  <si>
    <t>14.303</t>
  </si>
  <si>
    <t xml:space="preserve">    Acct. 303</t>
  </si>
  <si>
    <t xml:space="preserve"> Total Intangible Plant</t>
  </si>
  <si>
    <t>Transmission  Plant</t>
  </si>
  <si>
    <t>14.365</t>
  </si>
  <si>
    <t xml:space="preserve">    Acct. 365</t>
  </si>
  <si>
    <t>14.366</t>
  </si>
  <si>
    <t xml:space="preserve">    Acct. 366</t>
  </si>
  <si>
    <t>14.367</t>
  </si>
  <si>
    <t xml:space="preserve">    Acct. 367</t>
  </si>
  <si>
    <t>14.369</t>
  </si>
  <si>
    <t xml:space="preserve">    Acct. 369</t>
  </si>
  <si>
    <t>14.371</t>
  </si>
  <si>
    <t xml:space="preserve">    Acct. 371</t>
  </si>
  <si>
    <t>Total Transmission</t>
  </si>
  <si>
    <t>Distribution Plant:</t>
  </si>
  <si>
    <t>14.374</t>
  </si>
  <si>
    <t xml:space="preserve">    Acct. 374</t>
  </si>
  <si>
    <t>14.375</t>
  </si>
  <si>
    <t xml:space="preserve">    Acct. 375</t>
  </si>
  <si>
    <t>14.376</t>
  </si>
  <si>
    <t xml:space="preserve">    Acct. 376</t>
  </si>
  <si>
    <t>14.378</t>
  </si>
  <si>
    <t xml:space="preserve">    Acct. 378</t>
  </si>
  <si>
    <t>14.379</t>
  </si>
  <si>
    <t xml:space="preserve">    Acct. 379</t>
  </si>
  <si>
    <t>14.380</t>
  </si>
  <si>
    <t xml:space="preserve">    Acct. 380</t>
  </si>
  <si>
    <t>14.381</t>
  </si>
  <si>
    <t xml:space="preserve">    Acct. 381</t>
  </si>
  <si>
    <t>14.382</t>
  </si>
  <si>
    <t xml:space="preserve">    Acct. 382</t>
  </si>
  <si>
    <t>14.383</t>
  </si>
  <si>
    <t xml:space="preserve">    Acct. 383</t>
  </si>
  <si>
    <t>14.384</t>
  </si>
  <si>
    <t xml:space="preserve">    Acct. 384</t>
  </si>
  <si>
    <t>14.385</t>
  </si>
  <si>
    <t xml:space="preserve">    Acct. 385</t>
  </si>
  <si>
    <t>14.387</t>
  </si>
  <si>
    <t xml:space="preserve">    Acct. 387</t>
  </si>
  <si>
    <t>Total Distribution</t>
  </si>
  <si>
    <t>General Plant:</t>
  </si>
  <si>
    <t>14.389</t>
  </si>
  <si>
    <t xml:space="preserve">    Acct. 389</t>
  </si>
  <si>
    <t>14.390</t>
  </si>
  <si>
    <t xml:space="preserve">    Acct. 390</t>
  </si>
  <si>
    <t>14.391</t>
  </si>
  <si>
    <t xml:space="preserve">    Acct. 391</t>
  </si>
  <si>
    <t>14.392</t>
  </si>
  <si>
    <t xml:space="preserve">    Acct. 392</t>
  </si>
  <si>
    <t>14.393</t>
  </si>
  <si>
    <t xml:space="preserve">    Acct. 393</t>
  </si>
  <si>
    <t>14.394</t>
  </si>
  <si>
    <t xml:space="preserve">    Acct. 394</t>
  </si>
  <si>
    <t>14.395</t>
  </si>
  <si>
    <t xml:space="preserve">    Acct. 395</t>
  </si>
  <si>
    <t>14.396</t>
  </si>
  <si>
    <t xml:space="preserve">    Acct. 396</t>
  </si>
  <si>
    <t>14.397</t>
  </si>
  <si>
    <t xml:space="preserve">    Acct. 397</t>
  </si>
  <si>
    <t>14.398</t>
  </si>
  <si>
    <t xml:space="preserve">    Acct. 398</t>
  </si>
  <si>
    <t>E303_SP</t>
  </si>
  <si>
    <t>Income Statement - FERC - Pages 114-117 Detail</t>
  </si>
  <si>
    <t>Location: HFM Reports/Rate Case</t>
  </si>
  <si>
    <t>FC_101_1</t>
  </si>
  <si>
    <t>Less: Property Under Capital Leases</t>
  </si>
  <si>
    <t>Diff=Property Held under Capital Leases &amp; HFFU</t>
  </si>
  <si>
    <t>Regulatory Commission Expenses</t>
  </si>
  <si>
    <t>Other</t>
  </si>
  <si>
    <r>
      <rPr>
        <sz val="8"/>
        <color theme="1"/>
        <rFont val="Calibri"/>
        <family val="2"/>
      </rPr>
      <t xml:space="preserve">GL Company is equal to / is in </t>
    </r>
    <r>
      <rPr>
        <b/>
        <sz val="8"/>
        <color theme="1"/>
        <rFont val="Calibri"/>
        <family val="2"/>
      </rPr>
      <t>032</t>
    </r>
  </si>
  <si>
    <r>
      <rPr>
        <sz val="8"/>
        <color theme="1"/>
        <rFont val="Calibri"/>
        <family val="2"/>
      </rPr>
      <t xml:space="preserve">GL Account is equal to </t>
    </r>
    <r>
      <rPr>
        <b/>
        <sz val="8"/>
        <color theme="1"/>
        <rFont val="Calibri"/>
        <family val="2"/>
      </rPr>
      <t>14600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18190</t>
    </r>
  </si>
  <si>
    <r>
      <rPr>
        <sz val="8"/>
        <color theme="1"/>
        <rFont val="Calibri"/>
        <family val="2"/>
      </rPr>
      <t xml:space="preserve">Account Currency Code is equal to / is in </t>
    </r>
    <r>
      <rPr>
        <b/>
        <sz val="8"/>
        <color theme="1"/>
        <rFont val="Calibri"/>
        <family val="2"/>
      </rPr>
      <t>USD</t>
    </r>
  </si>
  <si>
    <r>
      <rPr>
        <sz val="8"/>
        <color theme="1"/>
        <rFont val="Calibri"/>
        <family val="2"/>
      </rPr>
      <t xml:space="preserve">Ending Balance is not equal to / is not in </t>
    </r>
    <r>
      <rPr>
        <b/>
        <sz val="8"/>
        <color theme="1"/>
        <rFont val="Calibri"/>
        <family val="2"/>
      </rPr>
      <t>0</t>
    </r>
  </si>
  <si>
    <t>DEC-23</t>
  </si>
  <si>
    <t>032</t>
  </si>
  <si>
    <t>0000</t>
  </si>
  <si>
    <t>Unspecified</t>
  </si>
  <si>
    <r>
      <rPr>
        <sz val="8"/>
        <color theme="1"/>
        <rFont val="Calibri"/>
        <family val="2"/>
      </rPr>
      <t xml:space="preserve">GL Account is equal to </t>
    </r>
    <r>
      <rPr>
        <b/>
        <sz val="8"/>
        <color theme="1"/>
        <rFont val="Calibri"/>
        <family val="2"/>
      </rPr>
      <t>24600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28180</t>
    </r>
  </si>
  <si>
    <t>18140</t>
  </si>
  <si>
    <t>Inc Taxes Recov-Future Rates</t>
  </si>
  <si>
    <r>
      <rPr>
        <sz val="8"/>
        <color theme="1"/>
        <rFont val="Calibri"/>
        <family val="2"/>
      </rPr>
      <t xml:space="preserve">GL Account is equal to / is in </t>
    </r>
    <r>
      <rPr>
        <b/>
        <sz val="8"/>
        <color theme="1"/>
        <rFont val="Calibri"/>
        <family val="2"/>
      </rPr>
      <t>18140</t>
    </r>
  </si>
  <si>
    <t xml:space="preserve">Income Tax Reg Liability (254) </t>
  </si>
  <si>
    <t>Total Utility Plant</t>
  </si>
  <si>
    <t>Depreciation Expense Detail - Gas</t>
  </si>
  <si>
    <t>FC_403</t>
  </si>
  <si>
    <t>FC_404</t>
  </si>
  <si>
    <t>FC_406</t>
  </si>
  <si>
    <t>Total 403, 404, 406</t>
  </si>
  <si>
    <t>Allocated Common Systems Costs</t>
  </si>
  <si>
    <t>.</t>
  </si>
  <si>
    <t>CURRENT INCOME TAX EXPENSE</t>
  </si>
  <si>
    <t>Federal</t>
  </si>
  <si>
    <t>Arizona</t>
  </si>
  <si>
    <t>Operating Revenues, as adjusted</t>
  </si>
  <si>
    <t>O&amp;M Expenses Adjusted</t>
  </si>
  <si>
    <t>Depreciation and Amortization, as Adjusted</t>
  </si>
  <si>
    <t>Taxes, Other Than Income</t>
  </si>
  <si>
    <t>Customer Deposit Interest Expense</t>
  </si>
  <si>
    <t>Expenses Other Than Interest Income Taxes</t>
  </si>
  <si>
    <t>Synchronized Interest</t>
  </si>
  <si>
    <t>Income Before Net Schedule M Items</t>
  </si>
  <si>
    <t>Net Scheduled M Items</t>
  </si>
  <si>
    <t>Taxable Operating Income Before State Tax Deduction</t>
  </si>
  <si>
    <t>State Income Tax Deduction</t>
  </si>
  <si>
    <t>Taxable Operating Income After State Tax Deduction</t>
  </si>
  <si>
    <t>Net Operating Loss Adjustment</t>
  </si>
  <si>
    <t>Taxable Operating Income After NOL Adjustment</t>
  </si>
  <si>
    <t>State Apportionment Rates</t>
  </si>
  <si>
    <t>Taxable Income After Apportionment</t>
  </si>
  <si>
    <t>Income Tax Rates</t>
  </si>
  <si>
    <t>Income Taxes Before Credits</t>
  </si>
  <si>
    <t>Federal AMT Credit</t>
  </si>
  <si>
    <t>Federal Fuel Tax Credit</t>
  </si>
  <si>
    <t>Arizona Tax Credit Carryforward</t>
  </si>
  <si>
    <t>Total Credits</t>
  </si>
  <si>
    <t>Pro Forma Current Income Taxes</t>
  </si>
  <si>
    <t>Combined Federal and Arizona Current Income Taxes</t>
  </si>
  <si>
    <t>Unadjusted Current Income Tax Exp</t>
  </si>
  <si>
    <t>Current Income Tax Exp Adj</t>
  </si>
  <si>
    <t>Weighted Cost of Debt</t>
  </si>
  <si>
    <t>Expected Synchronized Interest</t>
  </si>
  <si>
    <t>DEFERRED INCOME TAX EXPENSE</t>
  </si>
  <si>
    <t>Income Tax at Statutory Rates</t>
  </si>
  <si>
    <t>Tax Expense Adjustments</t>
  </si>
  <si>
    <t>Amount</t>
  </si>
  <si>
    <t>Applicable Tax Rate</t>
  </si>
  <si>
    <t>Tax Expense Adjustment</t>
  </si>
  <si>
    <t>Flow Through Expense</t>
  </si>
  <si>
    <t>Total Tax Expense Adjustments</t>
  </si>
  <si>
    <t>Total Tax Expense</t>
  </si>
  <si>
    <t>Less:  Current Income Tax Expense</t>
  </si>
  <si>
    <t>Deferred Tax Expense</t>
  </si>
  <si>
    <t>Unadjusted Deferred Income Tax Expense</t>
  </si>
  <si>
    <t>Pro Forma Adjustment - Deferred Income Tax Expense</t>
  </si>
  <si>
    <t>Cost Rate</t>
  </si>
  <si>
    <t>WACC</t>
  </si>
  <si>
    <t>Capitalization %</t>
  </si>
  <si>
    <t>General Advertising Expenses</t>
  </si>
  <si>
    <t>Fortis Management Fees</t>
  </si>
  <si>
    <t>Rate Base - Original Cost - Gas</t>
  </si>
  <si>
    <t>FC_101_106_114</t>
  </si>
  <si>
    <t>G302_SP - Franchise and Consents</t>
  </si>
  <si>
    <t>G303_SP - Miscellaneous Intangible Plant</t>
  </si>
  <si>
    <t>G365_SP - Land and Land Rights</t>
  </si>
  <si>
    <t>G366_SP - Structures and Improvements</t>
  </si>
  <si>
    <t>G367_SP - Mains</t>
  </si>
  <si>
    <t>G369_SP - Measuring and Regulating Station Equipment</t>
  </si>
  <si>
    <t>G371_SP - Other Equipment</t>
  </si>
  <si>
    <t>G375_SP - Structures and Improvements</t>
  </si>
  <si>
    <t>G376_SP - Mains</t>
  </si>
  <si>
    <t>G378_SP - Measuring and Regulating Station Equipment-Gen</t>
  </si>
  <si>
    <t>G379_SP - Measuring and Regulating Station Equipment-City</t>
  </si>
  <si>
    <t>G380_SP - Services</t>
  </si>
  <si>
    <t>G381_SP - Meters</t>
  </si>
  <si>
    <t>G382_SP - Meter Installations</t>
  </si>
  <si>
    <t>G383_SP - House Regulators</t>
  </si>
  <si>
    <t>G384_SP - House Regulatory Installations</t>
  </si>
  <si>
    <t>G385_SP - Industrial Measuring Regulating Station Equipment</t>
  </si>
  <si>
    <t>G387_SP - Other Equipment</t>
  </si>
  <si>
    <t>G389_SP - Land and Land Rights</t>
  </si>
  <si>
    <t>G390_SP - Structures and Improvements</t>
  </si>
  <si>
    <t>G391_SP - Office Furniture and Equipment</t>
  </si>
  <si>
    <t>G392_SP - Transportation Equipment</t>
  </si>
  <si>
    <t>G393_SP - Stores Equipment</t>
  </si>
  <si>
    <t>G394_SP - Tools - Shop and Garage Equipment</t>
  </si>
  <si>
    <t>G395_SP - Laboratory Equipment</t>
  </si>
  <si>
    <t>G396_SP - Power Operated Equipment</t>
  </si>
  <si>
    <t>G397_SP - Communication Equipment</t>
  </si>
  <si>
    <t>G398_SP - Miscellaneous Equipment</t>
  </si>
  <si>
    <t>Reconciliation to FERC Form I Utility Plant</t>
  </si>
  <si>
    <t>Less: Assumulated Depreciation</t>
  </si>
  <si>
    <t>FC_108_111_115</t>
  </si>
  <si>
    <t>Reconciliation to FERC Form I Accum Prov for Depr and Amort</t>
  </si>
  <si>
    <t>FC_101_106_114G302_SP - Franchise and ConsentsAll Locations</t>
  </si>
  <si>
    <t>FC_101_106_114G303_SP - Miscellaneous Intangible PlantAll Locations</t>
  </si>
  <si>
    <t>FC_101_106_114G365_SP - Land and Land RightsAll Locations</t>
  </si>
  <si>
    <t>FC_101_106_114G366_SP - Structures and ImprovementsAll Locations</t>
  </si>
  <si>
    <t>FC_101_106_114G367_SP - MainsAll Locations</t>
  </si>
  <si>
    <t>FC_101_106_114G369_SP - Measuring and Regulating Station EquipmentAll Locations</t>
  </si>
  <si>
    <t>FC_101_106_114G371_SP - Other EquipmentAll Locations</t>
  </si>
  <si>
    <t>FC_101_106_114G375_SP - Structures and ImprovementsAll Locations</t>
  </si>
  <si>
    <t>FC_101_106_114G376_SP - MainsAll Locations</t>
  </si>
  <si>
    <t>FC_101_106_114G378_SP - Measuring and Regulating Station Equipment-GenAll Locations</t>
  </si>
  <si>
    <t>FC_101_106_114G379_SP - Measuring and Regulating Station Equipment-CityAll Locations</t>
  </si>
  <si>
    <t>FC_101_106_114G380_SP - ServicesAll Locations</t>
  </si>
  <si>
    <t>FC_101_106_114G381_SP - MetersAll Locations</t>
  </si>
  <si>
    <t>FC_101_106_114G382_SP - Meter InstallationsAll Locations</t>
  </si>
  <si>
    <t>FC_101_106_114G383_SP - House RegulatorsAll Locations</t>
  </si>
  <si>
    <t>FC_101_106_114G384_SP - House Regulatory InstallationsAll Locations</t>
  </si>
  <si>
    <t>FC_101_106_114G385_SP - Industrial Measuring Regulating Station EquipmentAll Locations</t>
  </si>
  <si>
    <t>FC_101_106_114G387_SP - Other EquipmentAll Locations</t>
  </si>
  <si>
    <t>FC_101_106_114G389_SP - Land and Land RightsAll Locations</t>
  </si>
  <si>
    <t>FC_101_106_114G390_SP - Structures and ImprovementsAll Locations</t>
  </si>
  <si>
    <t>FC_101_106_114G391_SP - Office Furniture and EquipmentAll Locations</t>
  </si>
  <si>
    <t>FC_101_106_114G392_SP - Transportation EquipmentAll Locations</t>
  </si>
  <si>
    <t>FC_101_106_114G393_SP - Stores EquipmentAll Locations</t>
  </si>
  <si>
    <t>FC_101_106_114G394_SP - Tools - Shop and Garage EquipmentAll Locations</t>
  </si>
  <si>
    <t>FC_101_106_114G395_SP - Laboratory EquipmentAll Locations</t>
  </si>
  <si>
    <t>FC_101_106_114G396_SP - Power Operated EquipmentAll Locations</t>
  </si>
  <si>
    <t>FC_101_106_114G397_SP - Communication EquipmentAll Locations</t>
  </si>
  <si>
    <t>FC_101_106_114G398_SP - Miscellaneous EquipmentAll Locations</t>
  </si>
  <si>
    <t>FC_108_111_115G302_SP - Franchise and ConsentsAll Locations</t>
  </si>
  <si>
    <t>FC_108_111_115G303_SP - Miscellaneous Intangible PlantAll Locations</t>
  </si>
  <si>
    <t>FC_108_111_115G365_SP - Land and Land RightsAll Locations</t>
  </si>
  <si>
    <t>FC_108_111_115G366_SP - Structures and ImprovementsAll Locations</t>
  </si>
  <si>
    <t>FC_108_111_115G367_SP - MainsAll Locations</t>
  </si>
  <si>
    <t>FC_108_111_115G369_SP - Measuring and Regulating Station EquipmentAll Locations</t>
  </si>
  <si>
    <t>FC_108_111_115G371_SP - Other EquipmentAll Locations</t>
  </si>
  <si>
    <t>FC_108_111_115G375_SP - Structures and ImprovementsAll Locations</t>
  </si>
  <si>
    <t>FC_108_111_115G376_SP - MainsAll Locations</t>
  </si>
  <si>
    <t>FC_108_111_115G378_SP - Measuring and Regulating Station Equipment-GenAll Locations</t>
  </si>
  <si>
    <t>FC_108_111_115G379_SP - Measuring and Regulating Station Equipment-CityAll Locations</t>
  </si>
  <si>
    <t>FC_108_111_115G380_SP - ServicesAll Locations</t>
  </si>
  <si>
    <t>FC_108_111_115G381_SP - MetersAll Locations</t>
  </si>
  <si>
    <t>FC_108_111_115G382_SP - Meter InstallationsAll Locations</t>
  </si>
  <si>
    <t>FC_108_111_115G383_SP - House RegulatorsAll Locations</t>
  </si>
  <si>
    <t>FC_108_111_115G384_SP - House Regulatory InstallationsAll Locations</t>
  </si>
  <si>
    <t>FC_108_111_115G385_SP - Industrial Measuring Regulating Station EquipmentAll Locations</t>
  </si>
  <si>
    <t>FC_108_111_115G387_SP - Other EquipmentAll Locations</t>
  </si>
  <si>
    <t>FC_108_111_115G389_SP - Land and Land RightsAll Locations</t>
  </si>
  <si>
    <t>FC_108_111_115G390_SP - Structures and ImprovementsAll Locations</t>
  </si>
  <si>
    <t>FC_108_111_115G391_SP - Office Furniture and EquipmentAll Locations</t>
  </si>
  <si>
    <t>FC_108_111_115G392_SP - Transportation EquipmentAll Locations</t>
  </si>
  <si>
    <t>FC_108_111_115G393_SP - Stores EquipmentAll Locations</t>
  </si>
  <si>
    <t>FC_108_111_115G394_SP - Tools - Shop and Garage EquipmentAll Locations</t>
  </si>
  <si>
    <t>FC_108_111_115G395_SP - Laboratory EquipmentAll Locations</t>
  </si>
  <si>
    <t>FC_108_111_115G396_SP - Power Operated EquipmentAll Locations</t>
  </si>
  <si>
    <t>FC_108_111_115G397_SP - Communication EquipmentAll Locations</t>
  </si>
  <si>
    <t>FC_108_111_115G398_SP - Miscellaneous EquipmentAll Locations</t>
  </si>
  <si>
    <t>Allocated Common Systems Costs (Mass Alloc)</t>
  </si>
  <si>
    <t>Schedule A-1</t>
  </si>
  <si>
    <t>Page 1 of 1</t>
  </si>
  <si>
    <t>Computation of Increase in Gross Revenue Requirements</t>
  </si>
  <si>
    <t>(Thousands of Dollars)</t>
  </si>
  <si>
    <t>Line No.</t>
  </si>
  <si>
    <t>Original Cost</t>
  </si>
  <si>
    <t>Fair Value</t>
  </si>
  <si>
    <t>Adjusted Rate Base</t>
  </si>
  <si>
    <t>(a)</t>
  </si>
  <si>
    <t>Adjusted Operating Income</t>
  </si>
  <si>
    <t>(b)</t>
  </si>
  <si>
    <t>Current Rate of Return (2/1)</t>
  </si>
  <si>
    <t xml:space="preserve">Required Operating Income </t>
  </si>
  <si>
    <t>Weighted Average Cost of Capital</t>
  </si>
  <si>
    <t>(c)</t>
  </si>
  <si>
    <t>Fair Value Adjustment</t>
  </si>
  <si>
    <t>Required Rate of Return  (4/1)</t>
  </si>
  <si>
    <t>Gross Revenue Conversion Factor</t>
  </si>
  <si>
    <t>(d)</t>
  </si>
  <si>
    <t>Increase in Gross Revenue Requirement</t>
  </si>
  <si>
    <t>Proposed</t>
  </si>
  <si>
    <t>Net Increase / Decrease To</t>
  </si>
  <si>
    <t>Increase / Decrease to</t>
  </si>
  <si>
    <t>Customer Classification</t>
  </si>
  <si>
    <t>Adjusted Test Year</t>
  </si>
  <si>
    <t xml:space="preserve">Adjusted Test Year </t>
  </si>
  <si>
    <t>(e)</t>
  </si>
  <si>
    <t xml:space="preserve">  Residential</t>
  </si>
  <si>
    <t xml:space="preserve">     Total </t>
  </si>
  <si>
    <t>(1)</t>
  </si>
  <si>
    <t>Supporting Schedules</t>
  </si>
  <si>
    <t>(a)  B-1</t>
  </si>
  <si>
    <t>(b)  C-1</t>
  </si>
  <si>
    <t>(c)  D-1</t>
  </si>
  <si>
    <t>(d)  C-3</t>
  </si>
  <si>
    <t>(e)  H-1</t>
  </si>
  <si>
    <t>SCHEDULE A-1 REFERENCES</t>
  </si>
  <si>
    <t>Total Checks - A to H</t>
  </si>
  <si>
    <t>Schedule A</t>
  </si>
  <si>
    <t>Links</t>
  </si>
  <si>
    <t>Schedule H</t>
  </si>
  <si>
    <t>Adjusted Rate Base - Schedule B-1</t>
  </si>
  <si>
    <t>Adjusted Operating Income - Schedule C-1</t>
  </si>
  <si>
    <t>Required Rate of Return - Schedule D-1 (P1)</t>
  </si>
  <si>
    <t>Gross Revenue Conversion Factor - Schedule C-3</t>
  </si>
  <si>
    <t>RNCD</t>
  </si>
  <si>
    <t>Revenue Increases</t>
  </si>
  <si>
    <t>Projected Revenue Increase &amp; % Dollar Increase - Schedule H</t>
  </si>
  <si>
    <t>Schedule A-2</t>
  </si>
  <si>
    <t>Summary Results of Operations</t>
  </si>
  <si>
    <t>Projected Year Ended</t>
  </si>
  <si>
    <t>Prior Years Ended</t>
  </si>
  <si>
    <t>Test Year Ended</t>
  </si>
  <si>
    <t>June 30, 2023</t>
  </si>
  <si>
    <t xml:space="preserve">December 31, </t>
  </si>
  <si>
    <t>Present</t>
  </si>
  <si>
    <t>Actuals  (b)</t>
  </si>
  <si>
    <t>Adjusted  (b)</t>
  </si>
  <si>
    <t>Rates  (c)</t>
  </si>
  <si>
    <t>Operating Expenses (includes income taxes)</t>
  </si>
  <si>
    <t xml:space="preserve">Operating Income </t>
  </si>
  <si>
    <t>Other Income and Deductions</t>
  </si>
  <si>
    <t>Income Before Interest Expense</t>
  </si>
  <si>
    <t>Interest Expense</t>
  </si>
  <si>
    <t>Net Income</t>
  </si>
  <si>
    <t>Earnings Per Average Common Share (1)</t>
  </si>
  <si>
    <t>Dividends Per Common Share (1)</t>
  </si>
  <si>
    <t>Payout Ratio (1)</t>
  </si>
  <si>
    <t>Return on Year-End Invested Capital</t>
  </si>
  <si>
    <t>Return on Average Invested Capital</t>
  </si>
  <si>
    <t>Return on Year-End Common Equity</t>
  </si>
  <si>
    <t>Return on Average Common Equity</t>
  </si>
  <si>
    <t>Times Total Interest Earned - Before Income Taxes</t>
  </si>
  <si>
    <t>Times Total Interest Earned - After Income Taxes</t>
  </si>
  <si>
    <t>(a)  E-2</t>
  </si>
  <si>
    <t>SCHEDULE A-2 REFERENCES</t>
  </si>
  <si>
    <t>Prior Years - Schedule E-2</t>
  </si>
  <si>
    <t>Test Year (Actual) - Schedule C-1</t>
  </si>
  <si>
    <t>Test Year (Adjusted Operating Rev &amp; Exp) - Schedule C-1</t>
  </si>
  <si>
    <t>Interest Exp-Test Year Adjusted - Schedule D-2 (P1)</t>
  </si>
  <si>
    <t>Projected Year-Present Rates - Schedule F-1</t>
  </si>
  <si>
    <t>Projected Year-Proposed Rates - Schedule F-1</t>
  </si>
  <si>
    <t>Calculations in Schedule A-2 (Lines 9 through 17)</t>
  </si>
  <si>
    <t>12 Months Ended</t>
  </si>
  <si>
    <t>Actuals</t>
  </si>
  <si>
    <t>Rates</t>
  </si>
  <si>
    <t>Add back: Income Taxes</t>
  </si>
  <si>
    <t>Add back: Interest Expense</t>
  </si>
  <si>
    <t>Earnings Before Interest and Taxes</t>
  </si>
  <si>
    <t>Ending Common Equity</t>
  </si>
  <si>
    <t>Average Common Equity</t>
  </si>
  <si>
    <t>Ending Invested Capital</t>
  </si>
  <si>
    <t>Average Invested Capital</t>
  </si>
  <si>
    <t>Schedule A-3</t>
  </si>
  <si>
    <t>Summary of Capital Structure</t>
  </si>
  <si>
    <t>Actuals  (a)</t>
  </si>
  <si>
    <t xml:space="preserve"> Rates  (b)</t>
  </si>
  <si>
    <t xml:space="preserve"> Rates  </t>
  </si>
  <si>
    <t>Capitalization</t>
  </si>
  <si>
    <t>Short-Term Debt</t>
  </si>
  <si>
    <t xml:space="preserve">Long-Term Debt </t>
  </si>
  <si>
    <t xml:space="preserve"> Total Debt</t>
  </si>
  <si>
    <t>Common Stock Equity</t>
  </si>
  <si>
    <t xml:space="preserve">      Total Capital</t>
  </si>
  <si>
    <t>Capitalization Ratios</t>
  </si>
  <si>
    <t>Long-Term Debt - Net</t>
  </si>
  <si>
    <t>Weighted Cost of Short-Term Debt</t>
  </si>
  <si>
    <t xml:space="preserve">Weighted Cost of Long-Term Debt </t>
  </si>
  <si>
    <t>Weighted Cost of Common Equity</t>
  </si>
  <si>
    <t>(1)  The balance of Long-Term Debt is stated net of the unamortized balance of debt discount and issuance expense.</t>
  </si>
  <si>
    <t>(a)  E-1</t>
  </si>
  <si>
    <t>(b)  D-1</t>
  </si>
  <si>
    <t>SCHEDULE A-3 REFERENCES</t>
  </si>
  <si>
    <t>ST Debt-Prior Years - Schedule E-1 (P2)</t>
  </si>
  <si>
    <t>LT Debt-Prior Years - Schedule E-1 (P2) less LT Debt Costs</t>
  </si>
  <si>
    <t>Common Equity-Prior Years - Schedule E-1 (P2)</t>
  </si>
  <si>
    <t>Weighted Costs-Prior Years - calculated using cap ratios &amp; cost rates per Schedule D-1 (P1)</t>
  </si>
  <si>
    <t>ST Debt-Test Year - Schedule D-1 (P1)</t>
  </si>
  <si>
    <t>LT Debt-Test Year - Schedule D-1 (P1) less LT Debt Costs</t>
  </si>
  <si>
    <t>Common Equity-Test Year - Schedule D-1 (P1)</t>
  </si>
  <si>
    <t>Capitalization Ratios &amp; Weighted Costs-Test Year - Schedule D-1 (P1)</t>
  </si>
  <si>
    <t>ST Debt-Projected Year-Present Rates - Schedule D-1 (P2)</t>
  </si>
  <si>
    <t>LT Debt-Projected Year-Present Rates - Schedule D-1 (P2)</t>
  </si>
  <si>
    <t>Common Equity-Projected Year-Present Rates - Schedule D-1 (P2)</t>
  </si>
  <si>
    <t>Capitalization Ratios &amp; Weighted Costs-Test Year - Schedule D-1 (P2)</t>
  </si>
  <si>
    <t>LT Debt-Projected Year-Proposed Rates - Schedule D-1 (P2)</t>
  </si>
  <si>
    <t>Weighted Costs-Projected Year-Proposed Rates - calculated using cap ratios &amp; cost rates per Schedule D-1 (P2)</t>
  </si>
  <si>
    <t>LT Debt Issuance Costs - 2022 - Schedule D-2 (P2)</t>
  </si>
  <si>
    <t>FORM 1</t>
  </si>
  <si>
    <t>Form 3-Q</t>
  </si>
  <si>
    <t>Page 112</t>
  </si>
  <si>
    <t>Total L-T Debt</t>
  </si>
  <si>
    <t>Debt Disc</t>
  </si>
  <si>
    <t>Source: Schedule A L-T Debt Support</t>
  </si>
  <si>
    <t>Schedule A-4</t>
  </si>
  <si>
    <t>Construction Expenditures and Gross Utility Plant in Service</t>
  </si>
  <si>
    <t>Construction</t>
  </si>
  <si>
    <t xml:space="preserve">Net Plant </t>
  </si>
  <si>
    <t>Gross Utility</t>
  </si>
  <si>
    <t>Expenditures</t>
  </si>
  <si>
    <t>Placed in Service</t>
  </si>
  <si>
    <t>Projected Year Ended December 31, 2024</t>
  </si>
  <si>
    <t>(a)  E-1 &amp; E-3</t>
  </si>
  <si>
    <t>(b)  F-3</t>
  </si>
  <si>
    <t>SCHEDULE A-4 REFERENCES</t>
  </si>
  <si>
    <t>Construction Expenditures</t>
  </si>
  <si>
    <t>Prior Years &amp; Test Year - Schedule E-3 less CIAC</t>
  </si>
  <si>
    <t>Projected Years - Schedule F-3</t>
  </si>
  <si>
    <t>Gross Utility Plant in Service</t>
  </si>
  <si>
    <t>Prior Years &amp; Test Year - Schedule E-1</t>
  </si>
  <si>
    <t>Net Plant Placed in Service</t>
  </si>
  <si>
    <t>Prior Years and Test Year Change in Plant in Service - Schedule E-1 P1 Line 1</t>
  </si>
  <si>
    <t>Net Plant Placed into Service</t>
  </si>
  <si>
    <t>FERC pg 200.3b</t>
  </si>
  <si>
    <t>FERC pg 200.6b</t>
  </si>
  <si>
    <t>FERC pg 200.12b</t>
  </si>
  <si>
    <t>Net Change</t>
  </si>
  <si>
    <t>Schedule A-5</t>
  </si>
  <si>
    <t>Summary Changes in Financial Position</t>
  </si>
  <si>
    <t xml:space="preserve"> (Thousands of Dollars)</t>
  </si>
  <si>
    <t>Prior Years Ended  
December 31,</t>
  </si>
  <si>
    <t>2022 (a)</t>
  </si>
  <si>
    <t>Rates (b)</t>
  </si>
  <si>
    <t>Net Cash Flows from Operating Activities</t>
  </si>
  <si>
    <t>Net Cash Flows From Investing Activities</t>
  </si>
  <si>
    <t>Net Cash Flows from Financing Activities</t>
  </si>
  <si>
    <t>Net Increase (Decrease) in Cash</t>
  </si>
  <si>
    <t>(a)  E-3</t>
  </si>
  <si>
    <t>(b)  F-2</t>
  </si>
  <si>
    <t>SCHEDULE A-5 REFERENCES</t>
  </si>
  <si>
    <t>Prior Years &amp; Test Year - Schedule E-3 (P1)</t>
  </si>
  <si>
    <t>Projected Years - Schedule F-2</t>
  </si>
  <si>
    <t>Schedule B-1</t>
  </si>
  <si>
    <t>Summary of Original Cost and RCND Rate Base</t>
  </si>
  <si>
    <t>Total Company</t>
  </si>
  <si>
    <t>Adjusted Original Cost Rate Base
 (a)</t>
  </si>
  <si>
    <t>Adjusted RCND Rate Base
(b)</t>
  </si>
  <si>
    <t xml:space="preserve">   Gross Utility Plant in Service</t>
  </si>
  <si>
    <t xml:space="preserve">   Less: Accumulated Depreciation</t>
  </si>
  <si>
    <t xml:space="preserve">   Net Utility Plant in Service</t>
  </si>
  <si>
    <t xml:space="preserve">   Plant Held for Future Use</t>
  </si>
  <si>
    <t xml:space="preserve">  Total  Net Utility Plant </t>
  </si>
  <si>
    <t xml:space="preserve">        Customer Advances for Construction</t>
  </si>
  <si>
    <t xml:space="preserve">        Customer Deposits</t>
  </si>
  <si>
    <t xml:space="preserve">        Accumulated Deferred Investment Tax Credits</t>
  </si>
  <si>
    <t xml:space="preserve">        Accumulated Deferred Income Taxes</t>
  </si>
  <si>
    <t xml:space="preserve">             Total Deductions</t>
  </si>
  <si>
    <t xml:space="preserve">   Allowance for Working Capital</t>
  </si>
  <si>
    <t xml:space="preserve">   Regulatory Assets</t>
  </si>
  <si>
    <t xml:space="preserve">   Regulatory Liabilities</t>
  </si>
  <si>
    <t xml:space="preserve">                  Total Rate Base</t>
  </si>
  <si>
    <t xml:space="preserve"> (a)  B-2</t>
  </si>
  <si>
    <t xml:space="preserve">  </t>
  </si>
  <si>
    <t xml:space="preserve"> (b)  B-3</t>
  </si>
  <si>
    <t>Recap Schedules</t>
  </si>
  <si>
    <t>A-1</t>
  </si>
  <si>
    <t>SCHEDULE B-1 REFERENCES</t>
  </si>
  <si>
    <t>Not linked to other schedules</t>
  </si>
  <si>
    <t>Total per Rev Req Model</t>
  </si>
  <si>
    <t>Schedule B-2</t>
  </si>
  <si>
    <t>Page 1 of 3</t>
  </si>
  <si>
    <t>Pro Forma Adjustments to Original Cost Rate Base</t>
  </si>
  <si>
    <t>Unadjusted Test Year</t>
  </si>
  <si>
    <t>Total Adjustments
(a)</t>
  </si>
  <si>
    <t>Adjusted at End of Test Period</t>
  </si>
  <si>
    <t xml:space="preserve"> Line No.</t>
  </si>
  <si>
    <t xml:space="preserve">   Less: Accumulated Depreciation </t>
  </si>
  <si>
    <t xml:space="preserve">        Accumulated Deferred Income Taxes </t>
  </si>
  <si>
    <t xml:space="preserve">         Total Original Cost Rate Base</t>
  </si>
  <si>
    <t>(a)  B-2 (P2)</t>
  </si>
  <si>
    <t>B-1</t>
  </si>
  <si>
    <t>SCHEDULE B-2 PAGE 1 REFERENCES</t>
  </si>
  <si>
    <t>Cell References</t>
  </si>
  <si>
    <t>Actual At End of Test Period - Rev Req Model</t>
  </si>
  <si>
    <t>Total Adjustments - Schedule B-2 (P2)</t>
  </si>
  <si>
    <t>Page 2 of 3</t>
  </si>
  <si>
    <r>
      <t xml:space="preserve">Pro Forma Adjustments to </t>
    </r>
    <r>
      <rPr>
        <b/>
        <sz val="8"/>
        <rFont val="Arial"/>
        <family val="2"/>
      </rPr>
      <t>Original Cost Rate Base</t>
    </r>
  </si>
  <si>
    <t>B-2 (P1)</t>
  </si>
  <si>
    <t>SCHEDULE B-2 PAGE 2 REFERENCES</t>
  </si>
  <si>
    <t>Pro Forma Adjustments - Rev Req Model</t>
  </si>
  <si>
    <t>Page 3 of 3</t>
  </si>
  <si>
    <t>Schedule B-3</t>
  </si>
  <si>
    <r>
      <t xml:space="preserve">Pro Forma Adjustments to </t>
    </r>
    <r>
      <rPr>
        <b/>
        <sz val="8"/>
        <rFont val="Arial"/>
        <family val="2"/>
      </rPr>
      <t>RCND Rate Base</t>
    </r>
  </si>
  <si>
    <t>Actual at End of Test Period
(a), (b)</t>
  </si>
  <si>
    <t>Total Adjustments
(c)</t>
  </si>
  <si>
    <t xml:space="preserve">         Total RCND Rate Base</t>
  </si>
  <si>
    <t>(a)  B-4</t>
  </si>
  <si>
    <t>(b)  B-2</t>
  </si>
  <si>
    <t>(c)  B-3 (P2 &amp; P3)</t>
  </si>
  <si>
    <t>SCHEDULE B-3 PAGE 1 REFERENCES</t>
  </si>
  <si>
    <t>Rev Req Model</t>
  </si>
  <si>
    <t>Plant per B-4</t>
  </si>
  <si>
    <t>Net RNCD Plant in Service</t>
  </si>
  <si>
    <t xml:space="preserve">       Accumulated Deferred Income Taxes</t>
  </si>
  <si>
    <t>B-3 P(1)</t>
  </si>
  <si>
    <t>SCHEDULE B-3 PAGE 2 REFERENCES</t>
  </si>
  <si>
    <t>Schedule B-4</t>
  </si>
  <si>
    <t>Page 1 of 2</t>
  </si>
  <si>
    <t>RCND By Major Plant Accounts</t>
  </si>
  <si>
    <t>(Thounsands of Dollars)</t>
  </si>
  <si>
    <t>Function</t>
  </si>
  <si>
    <t>Plant Account</t>
  </si>
  <si>
    <t>Percent</t>
  </si>
  <si>
    <t>RCN Accum Depr</t>
  </si>
  <si>
    <t>Utility Plant in Service</t>
  </si>
  <si>
    <t>INTANGIBLE</t>
  </si>
  <si>
    <t>Total Other Production</t>
  </si>
  <si>
    <t>TRANSMISSION</t>
  </si>
  <si>
    <t>DISTRIBUTION</t>
  </si>
  <si>
    <t>B-3</t>
  </si>
  <si>
    <t>Page 2 of 2</t>
  </si>
  <si>
    <t>GENERAL</t>
  </si>
  <si>
    <t>Total Plant</t>
  </si>
  <si>
    <t>SCHEDULE B-4 REFERENCES</t>
  </si>
  <si>
    <t>RCN &amp; RCN Accum Depr - Rev Req Model</t>
  </si>
  <si>
    <t>Schedule B-5</t>
  </si>
  <si>
    <t>Computation of Working Capital</t>
  </si>
  <si>
    <t>Detail of Adjustments to Working Capital</t>
  </si>
  <si>
    <t xml:space="preserve">Line No.  </t>
  </si>
  <si>
    <t>RCND Cost</t>
  </si>
  <si>
    <t>Actual</t>
  </si>
  <si>
    <t>Thirteen  Month Average</t>
  </si>
  <si>
    <t>Total Company Adjusted</t>
  </si>
  <si>
    <t xml:space="preserve">     Cash Working Capital</t>
  </si>
  <si>
    <t xml:space="preserve">  Cash Working Capital</t>
  </si>
  <si>
    <t xml:space="preserve">     Materials and Supplies</t>
  </si>
  <si>
    <t xml:space="preserve">  Materials &amp; Supplies (Accounts 154 and 163)</t>
  </si>
  <si>
    <t xml:space="preserve">     Prepayments</t>
  </si>
  <si>
    <t xml:space="preserve">  Prepayments (Account 165)</t>
  </si>
  <si>
    <t xml:space="preserve">          Total Working Capital Allowance</t>
  </si>
  <si>
    <t xml:space="preserve">    Total</t>
  </si>
  <si>
    <t>B-5 (P2)</t>
  </si>
  <si>
    <t xml:space="preserve">         B-1</t>
  </si>
  <si>
    <t>B-5 (P3)</t>
  </si>
  <si>
    <t>B-5 (P1)</t>
  </si>
  <si>
    <t>SCHEDULE B-5 PAGE 1 REFERENCES</t>
  </si>
  <si>
    <t>SCHEDULE B-5 PAGE 2 REFERENCES</t>
  </si>
  <si>
    <t>Cash Working Capital - Actual</t>
  </si>
  <si>
    <t>Fuel Inventory - Actual</t>
  </si>
  <si>
    <t>Materials and Supplies - Actual</t>
  </si>
  <si>
    <t>Cash Working Capital - Original Cost &amp; RCND</t>
  </si>
  <si>
    <t>Schedule B-5 (P2)</t>
  </si>
  <si>
    <t>Prepayments - Actual</t>
  </si>
  <si>
    <t>Fuel Inventory - Original Cost &amp; RCND</t>
  </si>
  <si>
    <t>Fuel Inventory - 13 Mo Avg</t>
  </si>
  <si>
    <t>Materials and Supplies - Original Cost &amp; RCND</t>
  </si>
  <si>
    <t>Materials and Supplies - 13 Mo Avg</t>
  </si>
  <si>
    <t>Prepayments - Original Cost &amp; RCND</t>
  </si>
  <si>
    <t>Prepayments - 13 Mo Avg</t>
  </si>
  <si>
    <t>Schedule B-5 (P3)</t>
  </si>
  <si>
    <t>Cash Working Capital - Lead/Lag Study</t>
  </si>
  <si>
    <t>Net</t>
  </si>
  <si>
    <t>Cash Working</t>
  </si>
  <si>
    <t>Revenue</t>
  </si>
  <si>
    <t>Expense</t>
  </si>
  <si>
    <t>Lag</t>
  </si>
  <si>
    <t>Lead/Lag</t>
  </si>
  <si>
    <t>Capital</t>
  </si>
  <si>
    <t>Test Year</t>
  </si>
  <si>
    <t xml:space="preserve">Lag </t>
  </si>
  <si>
    <t>Factor</t>
  </si>
  <si>
    <t>Required</t>
  </si>
  <si>
    <t>Days</t>
  </si>
  <si>
    <t>(Col. C - Col. D)</t>
  </si>
  <si>
    <t>(Col. E/365)</t>
  </si>
  <si>
    <t>(Col. F X Col.B)</t>
  </si>
  <si>
    <t>(A)</t>
  </si>
  <si>
    <t>(B)</t>
  </si>
  <si>
    <t>(C)</t>
  </si>
  <si>
    <t>(D)</t>
  </si>
  <si>
    <t>(E)</t>
  </si>
  <si>
    <t>(F)</t>
  </si>
  <si>
    <t>(G)</t>
  </si>
  <si>
    <t>Operating Expenses:</t>
  </si>
  <si>
    <t xml:space="preserve">  Non-Cash Expenses -</t>
  </si>
  <si>
    <t xml:space="preserve">    Bad Debts Expense</t>
  </si>
  <si>
    <t xml:space="preserve">    Depreciation &amp; Amortization</t>
  </si>
  <si>
    <t xml:space="preserve">    Deferred Income Taxes</t>
  </si>
  <si>
    <t xml:space="preserve">    Intercompany</t>
  </si>
  <si>
    <t xml:space="preserve">    Salaries and Wages </t>
  </si>
  <si>
    <t xml:space="preserve">    Incentive Pay </t>
  </si>
  <si>
    <t xml:space="preserve">    Operations &amp; Maintenance </t>
  </si>
  <si>
    <t xml:space="preserve">    Office Supplies and Expenses</t>
  </si>
  <si>
    <t xml:space="preserve">    Outside Services</t>
  </si>
  <si>
    <t xml:space="preserve">    Property Insurance</t>
  </si>
  <si>
    <t xml:space="preserve">    Injuries and Damages</t>
  </si>
  <si>
    <t xml:space="preserve">    Pensions and Benefits</t>
  </si>
  <si>
    <t xml:space="preserve">    General Advertising Expenses</t>
  </si>
  <si>
    <t xml:space="preserve">    Miscellaneous General Expenses</t>
  </si>
  <si>
    <t xml:space="preserve">    Rents</t>
  </si>
  <si>
    <t xml:space="preserve">    Property Taxes</t>
  </si>
  <si>
    <t xml:space="preserve">    Payroll Taxes</t>
  </si>
  <si>
    <t xml:space="preserve">    Current Income Taxes</t>
  </si>
  <si>
    <t xml:space="preserve">    Interest on Customer Deposits</t>
  </si>
  <si>
    <t xml:space="preserve">    Other Operations and Maintenance</t>
  </si>
  <si>
    <t xml:space="preserve">        Total Operating Expenses</t>
  </si>
  <si>
    <t>Other Cash Working Capital Elements:</t>
  </si>
  <si>
    <t xml:space="preserve">    Interest on Long-Term Debt</t>
  </si>
  <si>
    <t xml:space="preserve">    Revenue Taxes and Assessments</t>
  </si>
  <si>
    <t xml:space="preserve">       Total Cash Working Capital</t>
  </si>
  <si>
    <t>Schedule C-1</t>
  </si>
  <si>
    <t>Allowance for Equity Funds</t>
  </si>
  <si>
    <t>Other - Net</t>
  </si>
  <si>
    <t>Total Other Income and Deductions</t>
  </si>
  <si>
    <t>Interest on Long-Term Debt</t>
  </si>
  <si>
    <t>Interest on Short-Term Debt</t>
  </si>
  <si>
    <t>Other Interest Expense</t>
  </si>
  <si>
    <t xml:space="preserve">Allowance for Borrowed Funds </t>
  </si>
  <si>
    <t>Total Interest Expense</t>
  </si>
  <si>
    <t>Income Before Cumulative Effect of Accounting Change</t>
  </si>
  <si>
    <t>Cumulative Effect of Accounting Change - Net of Tax</t>
  </si>
  <si>
    <t>Net Income Available for Common Stock</t>
  </si>
  <si>
    <t>(b)  C-2</t>
  </si>
  <si>
    <t>A-2</t>
  </si>
  <si>
    <t>SCHEDULE C-1 REFERENCES</t>
  </si>
  <si>
    <t>Variance Check to Schedule E-2</t>
  </si>
  <si>
    <t>Unadjusted - Schedule E-2</t>
  </si>
  <si>
    <t>See Note (1) above</t>
  </si>
  <si>
    <t>ACC Jurisdiction - Rev Req Model</t>
  </si>
  <si>
    <t>FERC Jurisdiction - Rev Req Model</t>
  </si>
  <si>
    <t>Other Inc &amp; Ded</t>
  </si>
  <si>
    <t>Pro Forma Adjustments - Schedule C-2 (all pages)</t>
  </si>
  <si>
    <t>Check to Schedule H-2 (P2)</t>
  </si>
  <si>
    <t>Schedule C</t>
  </si>
  <si>
    <t>Check to Schedule H-1</t>
  </si>
  <si>
    <t>Total Adjusted Operating Revenues</t>
  </si>
  <si>
    <t>Schedule C-2</t>
  </si>
  <si>
    <r>
      <t xml:space="preserve">Income Statement Pro Forma Adjustments - </t>
    </r>
    <r>
      <rPr>
        <b/>
        <sz val="8"/>
        <rFont val="Arial"/>
        <family val="2"/>
      </rPr>
      <t>Total Company</t>
    </r>
  </si>
  <si>
    <t>C-1</t>
  </si>
  <si>
    <t>SCHEDULE C-2 REFERENCES</t>
  </si>
  <si>
    <t>Adjustments - Rev Req Model</t>
  </si>
  <si>
    <t>Schedule C-3</t>
  </si>
  <si>
    <t>Computation of Gross Revenue Conversion Factor</t>
  </si>
  <si>
    <t>Percentage of</t>
  </si>
  <si>
    <t>Incremental</t>
  </si>
  <si>
    <t xml:space="preserve"> Line</t>
  </si>
  <si>
    <t>Gross Revenues</t>
  </si>
  <si>
    <t>1</t>
  </si>
  <si>
    <t>Gross Revenue</t>
  </si>
  <si>
    <t>2</t>
  </si>
  <si>
    <t>Less:  Uncollectible Revenue</t>
  </si>
  <si>
    <t>Taxable Income as a Percent</t>
  </si>
  <si>
    <t xml:space="preserve">Less:  Federal and State Income Taxes </t>
  </si>
  <si>
    <t>Change in Net Operating Income</t>
  </si>
  <si>
    <t>(a)  Line No. 1 divided by line No. 5.</t>
  </si>
  <si>
    <t>Schedule D-1</t>
  </si>
  <si>
    <t>Summary Cost of Capital</t>
  </si>
  <si>
    <t xml:space="preserve">Capital Source </t>
  </si>
  <si>
    <t>Weighted Cost of Capital (c)</t>
  </si>
  <si>
    <t>Actual - End of Test Period</t>
  </si>
  <si>
    <t>Common Equity</t>
  </si>
  <si>
    <t xml:space="preserve">     Total Capital</t>
  </si>
  <si>
    <t>Proposed - End of Test Period</t>
  </si>
  <si>
    <t>(a)  D-2</t>
  </si>
  <si>
    <t xml:space="preserve"> (c)  A-3</t>
  </si>
  <si>
    <t>(b)  E-1</t>
  </si>
  <si>
    <t>(c)  D-4</t>
  </si>
  <si>
    <t>SCHEDULE D-1 PAGE 1 REFERENCES</t>
  </si>
  <si>
    <t>Schedule D-2 (Pg 1)</t>
  </si>
  <si>
    <t xml:space="preserve"> ○ Total Debt - Net (Actual)</t>
  </si>
  <si>
    <t xml:space="preserve"> ○ Cost Rate - Total Debt - Net (Actual)</t>
  </si>
  <si>
    <t xml:space="preserve"> ○ Total Debt - Net (Proposed)</t>
  </si>
  <si>
    <t xml:space="preserve"> ○ Cost Rate - Total Debt - Net (Proposed)</t>
  </si>
  <si>
    <t>Schedule E-1 (Pg 2)</t>
  </si>
  <si>
    <t xml:space="preserve"> ○ Common Stock Equity (Actual)</t>
  </si>
  <si>
    <t>Schedule D-4</t>
  </si>
  <si>
    <t xml:space="preserve"> ○ Cost of Common Equity</t>
  </si>
  <si>
    <t>Total check with Schedule E-1 (P2)</t>
  </si>
  <si>
    <t xml:space="preserve">Schedule D-1 - Debt </t>
  </si>
  <si>
    <t>Schedule D-1 - Common Equity</t>
  </si>
  <si>
    <t>Schedule E-1 - Debt</t>
  </si>
  <si>
    <t>Schedule E-1 - Common Equity</t>
  </si>
  <si>
    <t>Total Variance</t>
  </si>
  <si>
    <t xml:space="preserve"> - Unamortized debt costs (Schedule D-2, Page 1 (Line 11)</t>
  </si>
  <si>
    <t xml:space="preserve"> - This amount is included in LT debt for the cost of capital</t>
  </si>
  <si>
    <t xml:space="preserve">   calculation but not in the balance sheet for LT debt.</t>
  </si>
  <si>
    <t>Capital Source</t>
  </si>
  <si>
    <t xml:space="preserve">Common Equity    </t>
  </si>
  <si>
    <t>(b)  A-3</t>
  </si>
  <si>
    <t>(b)  D-4</t>
  </si>
  <si>
    <t>SCHEDULE D-1 PAGE 2 REFERENCES</t>
  </si>
  <si>
    <t>Schedule D-2 (Pg 2)</t>
  </si>
  <si>
    <t xml:space="preserve"> ○ Total Debt - Net</t>
  </si>
  <si>
    <t xml:space="preserve"> ○ Cost Rate -Total Debt - Net</t>
  </si>
  <si>
    <t>Schedule D-2</t>
  </si>
  <si>
    <t>Cost of Long-Term Debt and Short-Term Debt</t>
  </si>
  <si>
    <t>Outstanding</t>
  </si>
  <si>
    <t xml:space="preserve">Annual Interest </t>
  </si>
  <si>
    <t>Annual Interest</t>
  </si>
  <si>
    <t>Fixed Rate Debt</t>
  </si>
  <si>
    <t>Total Fixed Rate Debt</t>
  </si>
  <si>
    <t>Variable Rate Debt</t>
  </si>
  <si>
    <t xml:space="preserve">     N/A</t>
  </si>
  <si>
    <t>Total Variable Rate Debt</t>
  </si>
  <si>
    <t>Total Long-Term Debt</t>
  </si>
  <si>
    <t>Unamortized Debt Discount and Debt issuance costs, Premium and</t>
  </si>
  <si>
    <t xml:space="preserve">     Expense and Loss on Reacquired Debt</t>
  </si>
  <si>
    <t>Amortization of Debt Discount and</t>
  </si>
  <si>
    <t xml:space="preserve">     Expense and Loss on Reacquired Debt </t>
  </si>
  <si>
    <t>Credit Facility Commitment Fees</t>
  </si>
  <si>
    <t>Total Long-Term Debt - Net</t>
  </si>
  <si>
    <t>Total Short-Term Debt</t>
  </si>
  <si>
    <t>Total Debt - Net</t>
  </si>
  <si>
    <t>A-4</t>
  </si>
  <si>
    <t>D-1</t>
  </si>
  <si>
    <t>SCHEDULE D-2 PAGE 1 REFERENCES</t>
  </si>
  <si>
    <t xml:space="preserve"> ○ Debt Balances</t>
  </si>
  <si>
    <t xml:space="preserve"> ○ Unamortizated Balances - Balance - Total</t>
  </si>
  <si>
    <t xml:space="preserve"> ○ Debt Amortization - Period Net - Total</t>
  </si>
  <si>
    <t xml:space="preserve"> ○ Other Interest Expense - Period Net - Total</t>
  </si>
  <si>
    <t xml:space="preserve"> ○ Proposed &amp; Projected DDE - DDE Annualized - Total (Proposed)</t>
  </si>
  <si>
    <t xml:space="preserve"> ○ Proposed &amp; Projected DDE - Ending Balance - Total (Proposed)</t>
  </si>
  <si>
    <t>SCHEDULE D-2 PAGE 2 REFERENCES</t>
  </si>
  <si>
    <t xml:space="preserve"> ○ Proposed &amp; Projected DDE - DDE Annualized - Total (Projected)</t>
  </si>
  <si>
    <t xml:space="preserve"> ○ Proposed &amp; Projected DDE - Ending Balance - Total (Projected)</t>
  </si>
  <si>
    <t>Schedule D-3</t>
  </si>
  <si>
    <t>Cost of Preferred Stock</t>
  </si>
  <si>
    <t>No preferred stock was outstanding during the test year.</t>
  </si>
  <si>
    <t>No preferred stock is expected to be issued.</t>
  </si>
  <si>
    <t>Cost of Common Equity</t>
  </si>
  <si>
    <t>Schedule E-1</t>
  </si>
  <si>
    <t>Comparative Balance Sheets</t>
  </si>
  <si>
    <t>June</t>
  </si>
  <si>
    <t>Utility Plant</t>
  </si>
  <si>
    <t>Construction Work in Progress</t>
  </si>
  <si>
    <t>Plant Held for Future Use</t>
  </si>
  <si>
    <t>Plant Under Capital Leases</t>
  </si>
  <si>
    <t>Accumulated Depreciation and Amortization</t>
  </si>
  <si>
    <t>Accumulated Amort - Acquisition Adjustment</t>
  </si>
  <si>
    <t>Utility Plant - Net</t>
  </si>
  <si>
    <t>Other Property and Investments</t>
  </si>
  <si>
    <t>Current Assets</t>
  </si>
  <si>
    <t>Cash and Cash Equivalents</t>
  </si>
  <si>
    <t>Special Deposits and Working Funds</t>
  </si>
  <si>
    <t>Accounts Receivable - Retail Customers</t>
  </si>
  <si>
    <t>Accounts Receivable - Other</t>
  </si>
  <si>
    <t>Allowance for Doubtful Accounts</t>
  </si>
  <si>
    <t>Accrued Unbilled Revenues</t>
  </si>
  <si>
    <t>Intercompany Accounts Receivable</t>
  </si>
  <si>
    <t>Materials and Supplies</t>
  </si>
  <si>
    <t>Deferred Debits</t>
  </si>
  <si>
    <t>Income Taxes Recoverable Through Future Rates</t>
  </si>
  <si>
    <t>Unamortized Debt Discount and Expense</t>
  </si>
  <si>
    <t>Total Assets</t>
  </si>
  <si>
    <t>Common Stock</t>
  </si>
  <si>
    <t>Accumulated Earnings</t>
  </si>
  <si>
    <t>Total Common Stock Equity</t>
  </si>
  <si>
    <t>Capital Lease Obligations</t>
  </si>
  <si>
    <t>Long-Term Debt</t>
  </si>
  <si>
    <t>Current Liabilities</t>
  </si>
  <si>
    <t>Current Obligations Under Capital Leases</t>
  </si>
  <si>
    <t>Accounts Payable</t>
  </si>
  <si>
    <t>Intercompany Payables</t>
  </si>
  <si>
    <t>Note Payable</t>
  </si>
  <si>
    <t>Interest Accrued</t>
  </si>
  <si>
    <t>Taxes Accrued</t>
  </si>
  <si>
    <t>Deferred Credits and Other Liabilities</t>
  </si>
  <si>
    <t>Total Liabilities</t>
  </si>
  <si>
    <t>(a) E-5</t>
  </si>
  <si>
    <t>Schedule E-2</t>
  </si>
  <si>
    <t>Comparative Income Statements</t>
  </si>
  <si>
    <t>Prior Years Ended December 31,</t>
  </si>
  <si>
    <t>(a) Operating Revenues</t>
  </si>
  <si>
    <t>(b) Operating Expense</t>
  </si>
  <si>
    <t>Interest on Long Term-Debt</t>
  </si>
  <si>
    <t>Interest on Short Term-Debt</t>
  </si>
  <si>
    <t>Allowance for Borrowed Funds</t>
  </si>
  <si>
    <t xml:space="preserve">Supporting Schedules </t>
  </si>
  <si>
    <t xml:space="preserve">Recap Schedules </t>
  </si>
  <si>
    <t xml:space="preserve">(a) E-6 </t>
  </si>
  <si>
    <t>Schedule E-3</t>
  </si>
  <si>
    <t>Comparative Statements of Cash Flows</t>
  </si>
  <si>
    <t>Operating Activities</t>
  </si>
  <si>
    <t>Adjustments to Reconcile Net Income to Net Cash Provided</t>
  </si>
  <si>
    <t>by Operating Activities:</t>
  </si>
  <si>
    <t>Depreciation and Depletion</t>
  </si>
  <si>
    <t>Amortization of Debt Issuance Costs</t>
  </si>
  <si>
    <t>Deferred Income Taxes</t>
  </si>
  <si>
    <t>Pension and Retiree Expense</t>
  </si>
  <si>
    <t>Pension and Retiree Funding</t>
  </si>
  <si>
    <t>Share-Based Compensation Expense</t>
  </si>
  <si>
    <t>Allowance for Equity Funds Used During Construction</t>
  </si>
  <si>
    <t>Changes in Current Assets and Liabilities</t>
  </si>
  <si>
    <t>Accounts Receivable</t>
  </si>
  <si>
    <t>Inventory</t>
  </si>
  <si>
    <t>Accounts Payable and Accrued Charges</t>
  </si>
  <si>
    <t>Other Operating Activities</t>
  </si>
  <si>
    <t>Investing Activities</t>
  </si>
  <si>
    <t>Capital Expenditures</t>
  </si>
  <si>
    <t>CIAC</t>
  </si>
  <si>
    <t>Financing Activities</t>
  </si>
  <si>
    <t>Proceeds from Long-Term Debt</t>
  </si>
  <si>
    <t>Proceeds from Credit Facilities</t>
  </si>
  <si>
    <t>Repayments of Credit Facilities</t>
  </si>
  <si>
    <t>Deferred Financing Costs</t>
  </si>
  <si>
    <t>Common Stock Dividends Paid</t>
  </si>
  <si>
    <t>Other Financing Activities Net</t>
  </si>
  <si>
    <t>Change in Cash and Cash Equivalents</t>
  </si>
  <si>
    <t>Cash and Cash Equivalents at Beginning of Period</t>
  </si>
  <si>
    <t>Cash and Cash Equivalents at End of Period</t>
  </si>
  <si>
    <t>A-5</t>
  </si>
  <si>
    <t>Schedule E-4</t>
  </si>
  <si>
    <t>Comparative Statements of Changes in Stockholders Equity</t>
  </si>
  <si>
    <t>Net Income for Year</t>
  </si>
  <si>
    <t>Dividend Declared</t>
  </si>
  <si>
    <t>Capital Contribution from UNS Energy</t>
  </si>
  <si>
    <t>Balance, December, 2021</t>
  </si>
  <si>
    <t>Schedule E-5</t>
  </si>
  <si>
    <t>Additions</t>
  </si>
  <si>
    <t>Gross Plant in Service</t>
  </si>
  <si>
    <t>Utility Plant Under Capital Leases</t>
  </si>
  <si>
    <t>Total Accumulated Depreciation and Amortization</t>
  </si>
  <si>
    <t>Total Net Utility Plant in Service</t>
  </si>
  <si>
    <t>SupportingSchedules</t>
  </si>
  <si>
    <t>(a) E-5 (P2)</t>
  </si>
  <si>
    <t>E-1</t>
  </si>
  <si>
    <t>E-5 (P1)</t>
  </si>
  <si>
    <t>Schedule E-6</t>
  </si>
  <si>
    <t>Comparative Departmental Operating Income Statements</t>
  </si>
  <si>
    <t>Residential Sales</t>
  </si>
  <si>
    <t>E-2</t>
  </si>
  <si>
    <t>Schedule E-7</t>
  </si>
  <si>
    <t>Average Number of Customers</t>
  </si>
  <si>
    <t>Schedule E-8</t>
  </si>
  <si>
    <t>Taxes Charged to Operations</t>
  </si>
  <si>
    <t>Federal Taxes</t>
  </si>
  <si>
    <t>Income Taxes - Federal (409.1)</t>
  </si>
  <si>
    <t>Unemployment</t>
  </si>
  <si>
    <t>FICA</t>
  </si>
  <si>
    <t>Deferred Federal Oper Income Tax Exp</t>
  </si>
  <si>
    <t>Deferred Cr Federal Oper Income Tax Exp</t>
  </si>
  <si>
    <t>State Taxes</t>
  </si>
  <si>
    <t>Income Taxes - Other (409.1)</t>
  </si>
  <si>
    <t>Deferred State Oper Income Tax Exp</t>
  </si>
  <si>
    <t>Deferred Cr State Oper Income Tax Exp</t>
  </si>
  <si>
    <t>Local Taxes</t>
  </si>
  <si>
    <t>Tax Oth Than Inc Tax - Property Tax</t>
  </si>
  <si>
    <t>Tax Oth Than Inc Tax - Other Taxes</t>
  </si>
  <si>
    <t>Total Taxes Charged to Operating Expenses</t>
  </si>
  <si>
    <t>Schedule E-9</t>
  </si>
  <si>
    <t>Notes to Financial Statements</t>
  </si>
  <si>
    <t xml:space="preserve">  N/A</t>
  </si>
  <si>
    <t xml:space="preserve">            </t>
  </si>
  <si>
    <t>Schedule F-1</t>
  </si>
  <si>
    <t>(Thousands of Dollars Except Return on Average Common Equity)</t>
  </si>
  <si>
    <t xml:space="preserve">   Other Operations and Maintenance Expense</t>
  </si>
  <si>
    <t xml:space="preserve">   Depreciation and Amortization</t>
  </si>
  <si>
    <t xml:space="preserve">  Taxes Other than Income Taxes</t>
  </si>
  <si>
    <t xml:space="preserve">  Income Taxes</t>
  </si>
  <si>
    <t xml:space="preserve">            Total Operating Expenses</t>
  </si>
  <si>
    <t xml:space="preserve">    Allowance for Equity Funds</t>
  </si>
  <si>
    <t xml:space="preserve">    Other - Net</t>
  </si>
  <si>
    <t xml:space="preserve">           Total Other Income and Deductions</t>
  </si>
  <si>
    <t xml:space="preserve">    Interest on Short-Term Debt</t>
  </si>
  <si>
    <t xml:space="preserve">    Other Interest Expense</t>
  </si>
  <si>
    <t xml:space="preserve">    Allowance for Borrowed Funds </t>
  </si>
  <si>
    <t xml:space="preserve">            Total Interest Expense</t>
  </si>
  <si>
    <t>Earnings Per Share of Average Common Stock Outstanding</t>
  </si>
  <si>
    <t>Note:  The statements above do not reflect ratemaking adjustments or jurisdictional allocations.</t>
  </si>
  <si>
    <t>Total check to Schedule E-2 &amp; Forecast</t>
  </si>
  <si>
    <t>Schedule F-2</t>
  </si>
  <si>
    <t>Cash Flows from Operating Activities</t>
  </si>
  <si>
    <t>Cash Flows from Investing Activities</t>
  </si>
  <si>
    <t>Net Cash Flows from Investing Activities</t>
  </si>
  <si>
    <t>Cash Flow from Financing Activities</t>
  </si>
  <si>
    <t>Supporting Schedule</t>
  </si>
  <si>
    <t>Total check to Schedule E-3 &amp; Forecast</t>
  </si>
  <si>
    <t>Schedule F-3</t>
  </si>
  <si>
    <t>Projected Construction Requirements</t>
  </si>
  <si>
    <t>Projected Year Ended December 31,</t>
  </si>
  <si>
    <t>Line
No.</t>
  </si>
  <si>
    <t>2024
(a)</t>
  </si>
  <si>
    <t>Capitalized Interest</t>
  </si>
  <si>
    <t>Gross Construction Expenditures</t>
  </si>
  <si>
    <t>Contributions in Aid of Construction</t>
  </si>
  <si>
    <t xml:space="preserve">Net Construction Expenditures </t>
  </si>
  <si>
    <t>(a)  A-4</t>
  </si>
  <si>
    <t>SCHEDULE F-3 REFERENCES</t>
  </si>
  <si>
    <t>Total Check to Schedule F-2</t>
  </si>
  <si>
    <t>Sch F-2</t>
  </si>
  <si>
    <t>Schedule F-4</t>
  </si>
  <si>
    <t>Key Assumptions Used in Preparing Forecasts</t>
  </si>
  <si>
    <t>Customer Growth and Sales</t>
  </si>
  <si>
    <t>Operations and Maintenance Expenses</t>
  </si>
  <si>
    <t>Depreciation Expense</t>
  </si>
  <si>
    <t>Increases in depreciation expense and amortization expense based on proposed changes.</t>
  </si>
  <si>
    <t>Projected Construction Requirements Schedule F3</t>
  </si>
  <si>
    <t>Interest Rate Assumptions</t>
  </si>
  <si>
    <t>The interest rate for new long-term debt is at 5.5%.</t>
  </si>
  <si>
    <t>Projected Year with Proposed Rates</t>
  </si>
  <si>
    <t>Operating revenue increase equal to:</t>
  </si>
  <si>
    <t>Test Year Ended June 30, 2024</t>
  </si>
  <si>
    <t>UNS Gas, Inc</t>
  </si>
  <si>
    <t>Income Statement - Test Year Ended June 30, 2024</t>
  </si>
  <si>
    <t>June 30, 2024  (a)</t>
  </si>
  <si>
    <t>Statement of Cash Flows - Test Year Ended June 30, 2024 and</t>
  </si>
  <si>
    <t>Test Year Ended
June 30, 2024
(a), (b)</t>
  </si>
  <si>
    <t>Measuring &amp; Reg. Station Equipment</t>
  </si>
  <si>
    <t>Measuring &amp; Reg. Station Equipment - General</t>
  </si>
  <si>
    <t>Measuring &amp; Reg. Station Equipment - City Gate Check Station</t>
  </si>
  <si>
    <t>Gas Retail Revenues</t>
  </si>
  <si>
    <t>Prior Years Ended December 31, 2022 and 2023, Test Year Ended June 30, 2024</t>
  </si>
  <si>
    <t>and Projected Year Ended June 30, 2025</t>
  </si>
  <si>
    <t>June 30, 2025</t>
  </si>
  <si>
    <t>June 30, 2024</t>
  </si>
  <si>
    <t>2023  (a)</t>
  </si>
  <si>
    <t>Jun-2024</t>
  </si>
  <si>
    <t>Jun-24</t>
  </si>
  <si>
    <t>Lead Lag Days</t>
  </si>
  <si>
    <t>Lead Lag Summary Workbook</t>
  </si>
  <si>
    <t>Tab A</t>
  </si>
  <si>
    <t>A</t>
  </si>
  <si>
    <t>Salaries and Wages</t>
  </si>
  <si>
    <t>Tab B</t>
  </si>
  <si>
    <t>B</t>
  </si>
  <si>
    <t>Incentive Compensation</t>
  </si>
  <si>
    <t>C</t>
  </si>
  <si>
    <t>Payroll Taxes</t>
  </si>
  <si>
    <t>D</t>
  </si>
  <si>
    <t>Intercompany</t>
  </si>
  <si>
    <t>Tab C</t>
  </si>
  <si>
    <t>E</t>
  </si>
  <si>
    <t>Tab D</t>
  </si>
  <si>
    <t>F</t>
  </si>
  <si>
    <t>Operations &amp; Maintenance 500-894</t>
  </si>
  <si>
    <t>G</t>
  </si>
  <si>
    <t>Tab F</t>
  </si>
  <si>
    <t>H</t>
  </si>
  <si>
    <t>Other O&amp;M 900-935</t>
  </si>
  <si>
    <t>I</t>
  </si>
  <si>
    <t>Office Supplies &amp; Expenses</t>
  </si>
  <si>
    <t>J</t>
  </si>
  <si>
    <t>Outside Services</t>
  </si>
  <si>
    <t>K</t>
  </si>
  <si>
    <t>L</t>
  </si>
  <si>
    <t>M</t>
  </si>
  <si>
    <t>N</t>
  </si>
  <si>
    <t>O</t>
  </si>
  <si>
    <t>P</t>
  </si>
  <si>
    <t>Property Taxes</t>
  </si>
  <si>
    <t>Q</t>
  </si>
  <si>
    <t xml:space="preserve">Income Taxes </t>
  </si>
  <si>
    <t>R</t>
  </si>
  <si>
    <t>S</t>
  </si>
  <si>
    <t>Revenue Taxes &amp; Assessments</t>
  </si>
  <si>
    <t>T</t>
  </si>
  <si>
    <t>Lead/Lag Study</t>
  </si>
  <si>
    <t>Operating Expense Reclassifications</t>
  </si>
  <si>
    <t>Link</t>
  </si>
  <si>
    <t>Bad Debts Expense</t>
  </si>
  <si>
    <t>Annualized Bad Debts Expense per Pro-Forma  Adjustment (Acct. 904)</t>
  </si>
  <si>
    <t>Rev Requirement Adjusted amount</t>
  </si>
  <si>
    <t>Annualized Depreciation - All</t>
  </si>
  <si>
    <t>Deferred Income Tax Expense</t>
  </si>
  <si>
    <t>Annual Deferred Income Taxes per Tax Adjustment</t>
  </si>
  <si>
    <t>Annualized O&amp;M payroll per Payroll Adjustment</t>
  </si>
  <si>
    <t>From Pro-Forma Payroll Expense</t>
  </si>
  <si>
    <t>Pro Forma annualized average from Incentive Comp. Adjustment</t>
  </si>
  <si>
    <t>Rev Req Adj amt - spread among several FERCs</t>
  </si>
  <si>
    <t>Less: Intercompany Charges</t>
  </si>
  <si>
    <t>Note: Included in #19 below</t>
  </si>
  <si>
    <t>Operating and Maintenance 500 - 894</t>
  </si>
  <si>
    <t>Total Distribution Expense</t>
  </si>
  <si>
    <t>Less: Payroll recorded in O&amp;M</t>
  </si>
  <si>
    <t>Note: Included in #4 above</t>
  </si>
  <si>
    <t>Less: Incentive Comp recorded in O&amp;M</t>
  </si>
  <si>
    <t>Note: Included in #5 above</t>
  </si>
  <si>
    <t>Less: Amortization in 407.3</t>
  </si>
  <si>
    <t>Test Year Adjusted Balance of Acct. 921</t>
  </si>
  <si>
    <t>Add: Fortis Management Fees included in Intercompany Charges</t>
  </si>
  <si>
    <t>Fortis Management Fees Pro Forma</t>
  </si>
  <si>
    <t>Test Year Adjusted Balance of Acct. 923</t>
  </si>
  <si>
    <t>Test Year Adjusted Balance of Acct. 924</t>
  </si>
  <si>
    <t>Company Records</t>
  </si>
  <si>
    <t>Test Year Adjusted Balance of Acct. 925</t>
  </si>
  <si>
    <t>Annualized Classified &amp; Unclassified Payroll</t>
  </si>
  <si>
    <t>Pensions and Benefits</t>
  </si>
  <si>
    <t>Test Year Adjusted Balance of Acct. 926</t>
  </si>
  <si>
    <t>General Advertising Exp</t>
  </si>
  <si>
    <t>Test Year Adjusted Balance of Acct. 930.1</t>
  </si>
  <si>
    <t>Test Year Adjusted Balance of Acct. 930.2</t>
  </si>
  <si>
    <t>Test Year Adjusted Balance of Acct. 931</t>
  </si>
  <si>
    <t>Annualized Property Taxes from Property Tax Adjustment</t>
  </si>
  <si>
    <t>Annualized O&amp;M Payroll taxes from Payroll Tax Adjustment</t>
  </si>
  <si>
    <t>Intercompany Charges</t>
  </si>
  <si>
    <t>Current Income Taxes</t>
  </si>
  <si>
    <t>Synchronized Interest Calulation</t>
  </si>
  <si>
    <t>Sch. D</t>
  </si>
  <si>
    <t>U</t>
  </si>
  <si>
    <t>Projected Period Ended June 30, 2025</t>
  </si>
  <si>
    <t>Projected as of June 30, 2025</t>
  </si>
  <si>
    <t>Test Year Ending June 30, 2024</t>
  </si>
  <si>
    <t>and Projected Years Ended December 31, 2024, 2025 and 2026</t>
  </si>
  <si>
    <t>Prior Year Ended December 31, 2022</t>
  </si>
  <si>
    <t>Prior Year Ended December 31, 2023</t>
  </si>
  <si>
    <t>Projected Year Ended December 31, 2025</t>
  </si>
  <si>
    <t>Projected Year Ended December 31, 2026</t>
  </si>
  <si>
    <t>Projected Year
June 30, 2025</t>
  </si>
  <si>
    <t>Test Year Ended
June 30, 2024</t>
  </si>
  <si>
    <t>2024 (a)</t>
  </si>
  <si>
    <t>Projected Period Ended
June 30, 2025</t>
  </si>
  <si>
    <t>Projected Year Ended June 30, 2025 at Present and Proposed Rates</t>
  </si>
  <si>
    <t>Test Year Ended June 30, 2024, and Projected Years 2024-2026</t>
  </si>
  <si>
    <t>2025
(a)</t>
  </si>
  <si>
    <t>2026
(a)</t>
  </si>
  <si>
    <t>Total
2024-2026</t>
  </si>
  <si>
    <t>June 2024</t>
  </si>
  <si>
    <t xml:space="preserve">Miscellaneous Intangible Plant </t>
  </si>
  <si>
    <t>Measuring and Regulating Station Equipment</t>
  </si>
  <si>
    <t>Measuring and Regulating Station Equipment-General</t>
  </si>
  <si>
    <t>Measuring and Regulating Station Equipment-City</t>
  </si>
  <si>
    <t>Industrial Measuring Regulating Station Equipment</t>
  </si>
  <si>
    <t>Balance Sheet FERC Pages 110 to 113</t>
  </si>
  <si>
    <t>7/9/2024 4:55:51 PM</t>
  </si>
  <si>
    <t>FC_Utility_Plant - Utility Plant (101-106, 114)</t>
  </si>
  <si>
    <t>FC_CWIP - Construction Work in Progress (107)</t>
  </si>
  <si>
    <t>FC_Utility_Plant_Total - Total Utility Plant</t>
  </si>
  <si>
    <t>FC_Accum_Prov - Less Accum. Prov. for Depr. Amort. Depl. (108, 110, 111, 115)</t>
  </si>
  <si>
    <t>FC_Utility_Plant_Net - Net Utility Plant</t>
  </si>
  <si>
    <t>FC_121 - Nonutility Property (121)</t>
  </si>
  <si>
    <t>FC_128 - Other Special Funds (128)</t>
  </si>
  <si>
    <t>0175_18600 - Derivatives - Other Long-Term Assets</t>
  </si>
  <si>
    <t>FC_131 - Cash (131)</t>
  </si>
  <si>
    <t>FC_132_134 - Special Deposits (132-134)</t>
  </si>
  <si>
    <t>FC_135 - Working Fund (135)</t>
  </si>
  <si>
    <t>FC_142 - Customer Accounts Receivable (142)</t>
  </si>
  <si>
    <t>FC_143 - Other Accounts Receivable (143)</t>
  </si>
  <si>
    <t>FC_144 - (Less) Accum. Prov. for Uncollectible Acct.-Credit (144)</t>
  </si>
  <si>
    <t>FC_146 - Accounts Receivable from Assoc. Companies (146)</t>
  </si>
  <si>
    <t>FC_154 - Plant Materials and Operating Supplies (154)</t>
  </si>
  <si>
    <t>FC_163 - Stores Expense Undistributed (163)</t>
  </si>
  <si>
    <t>FC_165 - Prepayments (165)</t>
  </si>
  <si>
    <t>FC_173 - Accrued Utility Revenues (173)</t>
  </si>
  <si>
    <t>FC_174 - Miscellaneous Current and Accrued Assets (174)</t>
  </si>
  <si>
    <t>FC_175 - Derivative Instrument Assets (175)</t>
  </si>
  <si>
    <t>FC_181 - Unamortized Debt Expenses (181)</t>
  </si>
  <si>
    <t>FC_182_3 - Other Regulatory Assets (182.3)</t>
  </si>
  <si>
    <t>FC_184 - Clearing Accounts (184)</t>
  </si>
  <si>
    <t>FC_186 - Miscellaneous Deferred Debits (186)</t>
  </si>
  <si>
    <t>FC_189 - Unamortized Loss on Reaquired Debt (189)</t>
  </si>
  <si>
    <t>FC_190 - Accumulated Deferred Income Taxes (190)</t>
  </si>
  <si>
    <t>FC_Defer_Debits - Total Deferred Debits</t>
  </si>
  <si>
    <t>FC_Assets - Total Assets</t>
  </si>
  <si>
    <t>FC_201 - Common Stock Issued (201)</t>
  </si>
  <si>
    <t>FC_208_211 - Other Paid-In Capital (208-211)</t>
  </si>
  <si>
    <t>FC_215_216 - Retained Earnings 215 215.1 216</t>
  </si>
  <si>
    <t>FC_Prop_Capital - Total Proprietary Capital</t>
  </si>
  <si>
    <t>FC_224 - Other Long-Term Debt (224)</t>
  </si>
  <si>
    <t>FC_LT_Debt - Total Long-Term Debt</t>
  </si>
  <si>
    <t>FC_227 - Obligations Under Capital Leases - Noncurrent (227)</t>
  </si>
  <si>
    <t>FC_228_2 - Accumulated Provision for Injuries and Damages (228.2)</t>
  </si>
  <si>
    <t>FC_228_3 - Accumulated Provision for Pensions and Benefits (228.3)</t>
  </si>
  <si>
    <t>0244_28500 - Other Deferred Credits</t>
  </si>
  <si>
    <t>FC_231 - Notes Payable (231)</t>
  </si>
  <si>
    <t>FC_232 - Accounts Payable (232)</t>
  </si>
  <si>
    <t>FC_234 - Accounts Payable to Associated Companies (234)</t>
  </si>
  <si>
    <t>FC_235 - Customer Deposits (235)</t>
  </si>
  <si>
    <t>FC_236 - Taxes Accrued (236)</t>
  </si>
  <si>
    <t>FC_237 - Interest Accrued (237)</t>
  </si>
  <si>
    <t>FC_241 - Tax Collections Payable (241)</t>
  </si>
  <si>
    <t>FC_242 - Miscellaneous Current and Accrued Liabilities (242)</t>
  </si>
  <si>
    <t>FC_243 - Obligations Under Capital Leases-Current (243)</t>
  </si>
  <si>
    <t>FC_244 - Derivative Instrument Liabilities (244)</t>
  </si>
  <si>
    <t>FC_252 - Customer Advances for Construction (252)</t>
  </si>
  <si>
    <t>FC_254 - Other Regulatory Liabilities (254)</t>
  </si>
  <si>
    <t>FC_282 - Accum. Deferred Income Taxes-Other Property (282)</t>
  </si>
  <si>
    <t>FC_283 - Accum. Deferred Income Taxes-Other (283)</t>
  </si>
  <si>
    <t>FC_Deferred_Credits - Total Deferred Credits</t>
  </si>
  <si>
    <t>FC_Liabilities - Total Liabilities and Stockholder Equity</t>
  </si>
  <si>
    <t>Note: This is a OneStream Report</t>
  </si>
  <si>
    <t>Statements of Income - Trailing12MonthTotal</t>
  </si>
  <si>
    <t>Income Statement FERC Pages 114 to 117 Detail</t>
  </si>
  <si>
    <t>7/9/2024 5:17:24 PM</t>
  </si>
  <si>
    <t>FC_480 - Residential Sales</t>
  </si>
  <si>
    <t>FC_481 - Commercial and Industrial Sales</t>
  </si>
  <si>
    <t>FC_482 - Other Sales to Public Authorities</t>
  </si>
  <si>
    <t>FC_Sales_Ult_Cons - Total Sales to Ultimate Consumer</t>
  </si>
  <si>
    <t>FC_483 - Sales for Resale</t>
  </si>
  <si>
    <t>FC_487 - Forfeited Discounts</t>
  </si>
  <si>
    <t>FC_488 - Miscellaneous Service Revenues</t>
  </si>
  <si>
    <t>FC_489 - Revenues from Transportation of Gas of Others</t>
  </si>
  <si>
    <t>FC_495 - Other Gas Revenues</t>
  </si>
  <si>
    <t>FC_Oth_Oper_Rev - Other Operating Revenues</t>
  </si>
  <si>
    <t>FC_Oper_Rev - Operating Revenues (400)</t>
  </si>
  <si>
    <t>FC_805 - Other Gas Purchases</t>
  </si>
  <si>
    <t>FC_807 - Other Purchased Gas Expenses</t>
  </si>
  <si>
    <t>FC_856 - Mains Expenses</t>
  </si>
  <si>
    <t>FC_870 - Operation Supervision and Engineering</t>
  </si>
  <si>
    <t>FC_871 - Distribution Load Dispatching</t>
  </si>
  <si>
    <t>FC_874 - Mains and Services Expenses</t>
  </si>
  <si>
    <t>FC_875 - Measuring and Regulating Station Expenses-General</t>
  </si>
  <si>
    <t>FC_876 - Measuring and Regulating Station Expenses-Industrial</t>
  </si>
  <si>
    <t>FC_877 - Measuring and Regulating Station Expenses-City Gas Check Station</t>
  </si>
  <si>
    <t>FC_878 - Meter and House Regulator Expenses</t>
  </si>
  <si>
    <t>FC_879 - Customer Installations Expenses</t>
  </si>
  <si>
    <t>FC_880 - Other Expenses</t>
  </si>
  <si>
    <t>FC_881 - Rents</t>
  </si>
  <si>
    <t>FC_885 - Maintenance Supervision and Engineering</t>
  </si>
  <si>
    <t>FC_887 - Maintenance of Mains</t>
  </si>
  <si>
    <t>FC_889 - Maintenance of Measuring and Regulating Station Equipment-General</t>
  </si>
  <si>
    <t>FC_892 - Maintenance of Services</t>
  </si>
  <si>
    <t>FC_893 - Maintenance of Meters and House Regulators</t>
  </si>
  <si>
    <t>FC_894 - Maintenance of Other Equipment</t>
  </si>
  <si>
    <t>FC_901 - Supervision</t>
  </si>
  <si>
    <t>FC_902 - Meter Reading Expenses</t>
  </si>
  <si>
    <t>FC_903 - Customer Records and Collection Expenses</t>
  </si>
  <si>
    <t>FC_904 - Uncollectible Accounts</t>
  </si>
  <si>
    <t>FC_908 - Customer Assistance Expenses</t>
  </si>
  <si>
    <t>FC_909 - Informational and Instructional Expenses</t>
  </si>
  <si>
    <t>FC_910 - Miscellaneous Customer Service and Informational Expenses</t>
  </si>
  <si>
    <t>FC_920 - Administrative and General Salaries</t>
  </si>
  <si>
    <t>FC_921 - Office Supplies and Expenses</t>
  </si>
  <si>
    <t>FC_922 - Administrative Expenses Transferred-Credit</t>
  </si>
  <si>
    <t>FC_923 - Outside Services Employed</t>
  </si>
  <si>
    <t>FC_924 - Property Insurance</t>
  </si>
  <si>
    <t>FC_925 - Injuries and Damages</t>
  </si>
  <si>
    <t>FC_926 - Employee Pensions and Benefits</t>
  </si>
  <si>
    <t>FC_928 - Regulatory Commission Expenses</t>
  </si>
  <si>
    <t>FC_930_1 - General Advertising Expenses</t>
  </si>
  <si>
    <t>FC_930_2 - Miscellaneous General Expenses</t>
  </si>
  <si>
    <t>FC_931 - Rents</t>
  </si>
  <si>
    <t>FC_932 - Maintenance of General Plant</t>
  </si>
  <si>
    <t>FC_Oth_Tax - Other Taxes</t>
  </si>
  <si>
    <t>FC_Payr_Tax - Payroll Tax</t>
  </si>
  <si>
    <t>FC_Prop_Tax - Property Tax</t>
  </si>
  <si>
    <t>FC_409_1_F - Income Taxes - Federal (409.1)</t>
  </si>
  <si>
    <t>FC_409_1_O - Income Taxes - Other (409.1)</t>
  </si>
  <si>
    <t>FC_410_1 - Provision for Deferred Income Taxes (410.1)</t>
  </si>
  <si>
    <t>FC_411_1 - (Less) Provision for Deferred Income Taxes-Cr. (411.1)</t>
  </si>
  <si>
    <t>FC_Util_Oper_Exp - Total Utility Operating Expenses</t>
  </si>
  <si>
    <t>FC_Utility_Oper_Inc - Net Utility Operating Income</t>
  </si>
  <si>
    <t>0419_80000 - Interest &amp; Dividend Income - Invest Securities</t>
  </si>
  <si>
    <t>0419_80100 - Interest &amp; Dividend Income - Other</t>
  </si>
  <si>
    <t>4191_80090 - Allow for Funds Used During Construction</t>
  </si>
  <si>
    <t>0421_40290 - Misc Nonoper Inc - Misc Revenues</t>
  </si>
  <si>
    <t>0421_40600 - Misc Nooper Inc - NSP Derivative Revenue</t>
  </si>
  <si>
    <t>0421_43000 - Misc Nonoper Inc - Intercompany Sales - NSP</t>
  </si>
  <si>
    <t>0421_51140 - Misc Nonoper Inc - Unrealized Gains and Losses - Gas Derivatives</t>
  </si>
  <si>
    <t>0421_51230 - Misc Nonoper Inc - Purchased Power</t>
  </si>
  <si>
    <t>0421_51475 - Misc Nonoper Inc - PPFAC Ratemaking Treatment</t>
  </si>
  <si>
    <t>FC_Oth_Income - Other Income</t>
  </si>
  <si>
    <t>FC_426_1 - Donations (426.1)</t>
  </si>
  <si>
    <t>FC_426_4 - Exp. for Certain Civic Political Activities (426.4)</t>
  </si>
  <si>
    <t>FC_426_5 - Other Deductions (426.5)</t>
  </si>
  <si>
    <t>FC_Oth_Ded - Other Income Deductions</t>
  </si>
  <si>
    <t>FC_408_2 - Taxes Other Than Income Taxes (408.2)</t>
  </si>
  <si>
    <t>FC_409_2_F - Income Taxes-Federal (409.2)</t>
  </si>
  <si>
    <t>FC_409_2_O - Income Taxes-Other (409.2)</t>
  </si>
  <si>
    <t>FC_410_2 - Provision for Deferred Inc. Taxes (410.2)</t>
  </si>
  <si>
    <t>FC_411_2 - (Less) Provision for Deferred Income Taxes-Cr. (411.2)</t>
  </si>
  <si>
    <t>FC_Tax_Oth_Inc_Ded - Taxes on Other Income and Deductions</t>
  </si>
  <si>
    <t>FC_427 - Interest on Long-Term Debt (427)</t>
  </si>
  <si>
    <t>FC_428 - Amort. of Debt Disc. and Expense (428)</t>
  </si>
  <si>
    <t>FC_431 - Other Interest Expense (431)</t>
  </si>
  <si>
    <t>FC_432 - (Less) Allowance for Borrowed Funds Used During Construction-Cr. (432)</t>
  </si>
  <si>
    <t>FC_Int_Charges - Interest Charges</t>
  </si>
  <si>
    <t>FC_434 - Extraordinary Income (434)</t>
  </si>
  <si>
    <t>FC_Extra_Items - Extraordinary Items</t>
  </si>
  <si>
    <t>FC_Net_Income - Net Income</t>
  </si>
  <si>
    <t>Total 4 &amp; 3</t>
  </si>
  <si>
    <t>E303_SP - Intangible Misc Intangible Plant</t>
  </si>
  <si>
    <t>Total Intangible</t>
  </si>
  <si>
    <t>Note: The total lines are calculated off the actual dollars sitting under the parent dimensions.</t>
  </si>
  <si>
    <t>This report displays 0 decimals, meaning there could be slight rounding variances</t>
  </si>
  <si>
    <t>between the detail and totals.</t>
  </si>
  <si>
    <t>GL - Transaction Detail-ALL Sources</t>
  </si>
  <si>
    <t>Time run: 7/10/2024 11:04:14 AM</t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</si>
  <si>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JUL-23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AUG-23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SEP-23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OCT-23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NOV-23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DEC-23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JAN-24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FEB-24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MAR-24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APR-24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MAY-24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JUN-24</t>
    </r>
  </si>
  <si>
    <r>
      <rPr>
        <sz val="8"/>
        <color theme="1"/>
        <rFont val="Calibri"/>
        <family val="2"/>
      </rPr>
      <t xml:space="preserve">GL FERC is equal to / is in </t>
    </r>
    <r>
      <rPr>
        <b/>
        <sz val="8"/>
        <color theme="1"/>
        <rFont val="Calibri"/>
        <family val="2"/>
      </rPr>
      <t>0431</t>
    </r>
  </si>
  <si>
    <r>
      <rPr>
        <sz val="8"/>
        <color theme="1"/>
        <rFont val="Calibri"/>
        <family val="2"/>
      </rPr>
      <t xml:space="preserve">GL Sub Account is equal to / is in </t>
    </r>
    <r>
      <rPr>
        <b/>
        <sz val="8"/>
        <color theme="1"/>
        <rFont val="Calibri"/>
        <family val="2"/>
      </rPr>
      <t>8300</t>
    </r>
  </si>
  <si>
    <t>GL Period</t>
  </si>
  <si>
    <t>Co</t>
  </si>
  <si>
    <t>Query Source</t>
  </si>
  <si>
    <t>GL Je Source</t>
  </si>
  <si>
    <t>GL Je Name</t>
  </si>
  <si>
    <t>JUL-23</t>
  </si>
  <si>
    <t>85190</t>
  </si>
  <si>
    <t>8300</t>
  </si>
  <si>
    <t>General Ledger</t>
  </si>
  <si>
    <t>Recurring</t>
  </si>
  <si>
    <t>J844 UNG Inter on Cust Deposit: 25-JUL-23 06:23:06</t>
  </si>
  <si>
    <t>AUG-23</t>
  </si>
  <si>
    <t>J844 UNG Inter on Cust Deposit: 24-AUG-23 16:17:11</t>
  </si>
  <si>
    <t>SEP-23</t>
  </si>
  <si>
    <t>J844 UNG Inter on Cust Deposit: 23-SEP-23 20:10:58</t>
  </si>
  <si>
    <t>OCT-23</t>
  </si>
  <si>
    <t>J844 UNG Inter on Cust Deposit: 24-OCT-23 19:38:56</t>
  </si>
  <si>
    <t>NOV-23</t>
  </si>
  <si>
    <t>J844 UNG Inter on Cust Deposit: 20-NOV-23 19:12:04</t>
  </si>
  <si>
    <t>J844 UNG Inter on Cust Deposit: 14-DEC-23 13:27:25</t>
  </si>
  <si>
    <t>JAN-24</t>
  </si>
  <si>
    <t>J844 UNG Inter on Cust Deposit: 25-JAN-24 07:32:42</t>
  </si>
  <si>
    <t>FEB-24</t>
  </si>
  <si>
    <t>J844 UNG Inter on Cust Deposit: 22-FEB-24 09:37:51</t>
  </si>
  <si>
    <t>MAR-24</t>
  </si>
  <si>
    <t>J844 UNG Inter on Cust Deposit: 22-MAR-24 07:39:11</t>
  </si>
  <si>
    <t>APR-24</t>
  </si>
  <si>
    <t>J844 UNG Inter on Cust Deposit: 24-APR-24 11:43:17</t>
  </si>
  <si>
    <t>MAY-24</t>
  </si>
  <si>
    <t>J844 UNG Inter on Cust Deposit: 23-MAY-24 07:19:05</t>
  </si>
  <si>
    <t>JUN-24</t>
  </si>
  <si>
    <t>J844 UNG Inter on Cust Deposit: 20-JUN-24 11:08:01</t>
  </si>
  <si>
    <r>
      <rPr>
        <sz val="8"/>
        <color theme="1"/>
        <rFont val="Calibri"/>
        <family val="2"/>
      </rPr>
      <t xml:space="preserve">GL Period Name is equal to / is in </t>
    </r>
    <r>
      <rPr>
        <b/>
        <sz val="8"/>
        <color theme="1"/>
        <rFont val="Calibri"/>
        <family val="2"/>
      </rPr>
      <t>JUN-24</t>
    </r>
  </si>
  <si>
    <t>Time run: 7/11/2024 1:33:21 PM</t>
  </si>
  <si>
    <t>Time run: 7/11/2024 1:36:11 PM</t>
  </si>
  <si>
    <t>Time run: 7/11/2024 1:38:05 PM</t>
  </si>
  <si>
    <t>G374_SP - Land and Land Rights</t>
  </si>
  <si>
    <t>7/11/2024 2:18:51 PM</t>
  </si>
  <si>
    <t>FC_108_111_115G374_SP - Land and Land RightsAll Locations</t>
  </si>
  <si>
    <t>7/11/2024 2:26:07 PM</t>
  </si>
  <si>
    <t>FC_101_106_114G374_SP - Land and Land RightsAll Locations</t>
  </si>
  <si>
    <t>154/163</t>
  </si>
  <si>
    <t xml:space="preserve">Other Gas Revenues  </t>
  </si>
  <si>
    <t>Miscellaneous Service Revenues</t>
  </si>
  <si>
    <t xml:space="preserve">Customer Deposit Interest Expense </t>
  </si>
  <si>
    <t>Time run: 7/23/2024 7:56:35 AM</t>
  </si>
  <si>
    <t>28200</t>
  </si>
  <si>
    <t>Deferred Employee Benefits</t>
  </si>
  <si>
    <r>
      <rPr>
        <sz val="8"/>
        <color theme="1"/>
        <rFont val="Calibri"/>
        <family val="2"/>
      </rPr>
      <t xml:space="preserve">GL Company is equal to / is in </t>
    </r>
    <r>
      <rPr>
        <b/>
        <sz val="8"/>
        <color theme="1"/>
        <rFont val="Calibri"/>
        <family val="2"/>
      </rPr>
      <t>032</t>
    </r>
  </si>
  <si>
    <r>
      <rPr>
        <sz val="8"/>
        <color theme="1"/>
        <rFont val="Calibri"/>
        <family val="2"/>
      </rPr>
      <t xml:space="preserve">GL Account is equal to / is in </t>
    </r>
    <r>
      <rPr>
        <b/>
        <sz val="8"/>
        <color theme="1"/>
        <rFont val="Calibri"/>
        <family val="2"/>
      </rPr>
      <t>28200</t>
    </r>
  </si>
  <si>
    <r>
      <rPr>
        <sz val="8"/>
        <color theme="1"/>
        <rFont val="Calibri"/>
        <family val="2"/>
      </rPr>
      <t xml:space="preserve">Account Currency Code is equal to / is in </t>
    </r>
    <r>
      <rPr>
        <b/>
        <sz val="8"/>
        <color theme="1"/>
        <rFont val="Calibri"/>
        <family val="2"/>
      </rPr>
      <t>USD</t>
    </r>
  </si>
  <si>
    <r>
      <rPr>
        <sz val="8"/>
        <color theme="1"/>
        <rFont val="Calibri"/>
        <family val="2"/>
      </rPr>
      <t xml:space="preserve">Ending Balance is not equal to / is not in </t>
    </r>
    <r>
      <rPr>
        <b/>
        <sz val="8"/>
        <color theme="1"/>
        <rFont val="Calibri"/>
        <family val="2"/>
      </rPr>
      <t>0</t>
    </r>
  </si>
  <si>
    <t>Accumulated Depreciation</t>
  </si>
  <si>
    <t xml:space="preserve">Unadjusted R.C.N Cost </t>
  </si>
  <si>
    <t xml:space="preserve"> Unadjusted R.C.N. Accum Deprn </t>
  </si>
  <si>
    <t>Customer Advances - Summary of Liability</t>
  </si>
  <si>
    <t>Property and Liability Insurance</t>
  </si>
  <si>
    <t>Steel</t>
  </si>
  <si>
    <t>Plastic</t>
  </si>
  <si>
    <t>Purchased Gas</t>
  </si>
  <si>
    <t>Post Test Year Plant</t>
  </si>
  <si>
    <t>Southern Union Acquisition Premium</t>
  </si>
  <si>
    <t xml:space="preserve">Citizens Acquisition Discount </t>
  </si>
  <si>
    <t xml:space="preserve">Fortis Rate Base Adjustment </t>
  </si>
  <si>
    <t>Delayed Unitization</t>
  </si>
  <si>
    <t>(b)  B-5 (P1)</t>
  </si>
  <si>
    <t xml:space="preserve">    Purchased Gas</t>
  </si>
  <si>
    <t>Less: Payroll Adjustment</t>
  </si>
  <si>
    <t xml:space="preserve">Prepaid Pension </t>
  </si>
  <si>
    <t xml:space="preserve">   Prepaid Pension</t>
  </si>
  <si>
    <t xml:space="preserve">Pensions </t>
  </si>
  <si>
    <t>Note: Included in #19 below (49% Excluded)</t>
  </si>
  <si>
    <t xml:space="preserve">Test Year Unadjusted Balance of Acct 805 </t>
  </si>
  <si>
    <t>Rev Requirement Unadjusted amount</t>
  </si>
  <si>
    <t>Source: Balance Sheet FERC Pages 110 to 113</t>
  </si>
  <si>
    <t>Test Year Ended June 2024 and Two Prior Calendar Years</t>
  </si>
  <si>
    <t>Test Year Ended June 2024</t>
  </si>
  <si>
    <t>Purchased Gas Expenses</t>
  </si>
  <si>
    <t>Balance, December, 2023</t>
  </si>
  <si>
    <t>Balance, June, 2024</t>
  </si>
  <si>
    <t>Total Gas Plant in Service</t>
  </si>
  <si>
    <t>Commercial Revenue</t>
  </si>
  <si>
    <t>Industrial Revenue</t>
  </si>
  <si>
    <t>Other Sales to Public Authorities</t>
  </si>
  <si>
    <t>Detail of Gas Utility Plant - Summary Statement</t>
  </si>
  <si>
    <t>Detail of Gas Utility Plant</t>
  </si>
  <si>
    <t>Therm Sales</t>
  </si>
  <si>
    <t>Residential</t>
  </si>
  <si>
    <t>Commercial</t>
  </si>
  <si>
    <t>Industrial</t>
  </si>
  <si>
    <t>Average Annual Therm Use</t>
  </si>
  <si>
    <t>Note:  The above statistics exclude Transportation.  The following data summarizes Transportation statistics (includes Valencia and excludes BMGS):</t>
  </si>
  <si>
    <t>Gas Operating Statistics</t>
  </si>
  <si>
    <t>Income Tax Expense Supporting Schedule - Timing Diffs</t>
  </si>
  <si>
    <t>Book Expense Pro Forma's</t>
  </si>
  <si>
    <t>Tax Deductions Changes from ADIT Workpapers</t>
  </si>
  <si>
    <t>Adjusted Timing Diffs</t>
  </si>
  <si>
    <t>Schedule M</t>
  </si>
  <si>
    <t>Pension</t>
  </si>
  <si>
    <t>Depr. &amp; Amort.</t>
  </si>
  <si>
    <t>Deductable Service Costs</t>
  </si>
  <si>
    <t>Ordinary Gain/Loss Tax</t>
  </si>
  <si>
    <t>Depreciation Tax</t>
  </si>
  <si>
    <t>Depreciation Book</t>
  </si>
  <si>
    <t>Cap Book Depreciation</t>
  </si>
  <si>
    <t>Customer Advances</t>
  </si>
  <si>
    <t>Less: Federal Tax Depreciation</t>
  </si>
  <si>
    <t>Less:  Federal Gain/Loss</t>
  </si>
  <si>
    <t>Plus:  AZ Tax Depreciation</t>
  </si>
  <si>
    <t>Plus:  AZ Gain/Loss</t>
  </si>
  <si>
    <t>AZ Adjustment to Federal</t>
  </si>
  <si>
    <t>AZ Timing Differences</t>
  </si>
  <si>
    <t>Payment Fees for Low Income Customers</t>
  </si>
  <si>
    <t>ADIT Pro Forma</t>
  </si>
  <si>
    <t>Repairs</t>
  </si>
  <si>
    <t>(Combined Effective Tax Rate = 24.868%)</t>
  </si>
  <si>
    <t>Total for Federal</t>
  </si>
  <si>
    <t>Unadjusted Timing Diffs from 12/31/2023 Year End Accounting</t>
  </si>
  <si>
    <t>Combined Effective Income Tax Rate</t>
  </si>
  <si>
    <t>Balance, December, 2022</t>
  </si>
  <si>
    <t>(2)  Includes reclassification of $54 thousand for Customer Deposit Interest Expense from Other Interest Expense to Other O&amp;M Expense.</t>
  </si>
  <si>
    <t>(1)  UNS Gas, Inc. is a subsidiary of UNS Energy Corporation and has no publicly traded stock; thus such information is not meaningful.</t>
  </si>
  <si>
    <t>Transportation Depreciation Adjustment</t>
  </si>
  <si>
    <t>Advertising and Other Excluded Items</t>
  </si>
  <si>
    <t>Payroll and Benefit Expense</t>
  </si>
  <si>
    <t>Post-Retirement Benefits</t>
  </si>
  <si>
    <t>Property Tax Expense</t>
  </si>
  <si>
    <t>Short-Term Incentive Compensation</t>
  </si>
  <si>
    <t>Build-Out Adjustment</t>
  </si>
  <si>
    <t>Post-Test Year Plant</t>
  </si>
  <si>
    <t>Net Regulatory Assets and Liabilities to Rate Base Original Cost Schedule Unadjusted</t>
  </si>
  <si>
    <t>Total Prepaid Pension Regulatory Asset to Rate Base Original Cost Schedule - Unadjusted</t>
  </si>
  <si>
    <t>Pre-Paid Pension Regulatory Liability</t>
  </si>
  <si>
    <t>Pre-Paid Pension Regulatory Asset</t>
  </si>
  <si>
    <t>Income Tax Regulatory Asset (182.3)</t>
  </si>
  <si>
    <t>SFR</t>
  </si>
  <si>
    <t>Customer &amp; Weather Adjustment</t>
  </si>
  <si>
    <t>Check To Rev-Exp</t>
  </si>
  <si>
    <t>S/B Zero</t>
  </si>
  <si>
    <t>Per Revenue Proof:</t>
  </si>
  <si>
    <t>Test Year Adjusted Revenue</t>
  </si>
  <si>
    <t>UNS GAS, INC.</t>
  </si>
  <si>
    <t>TCJA / LFCR</t>
  </si>
  <si>
    <t>PGA</t>
  </si>
  <si>
    <t>Billed</t>
  </si>
  <si>
    <t xml:space="preserve">Unbilled </t>
  </si>
  <si>
    <t>weather</t>
  </si>
  <si>
    <t>customer</t>
  </si>
  <si>
    <t>Misc Adj</t>
  </si>
  <si>
    <t>Misc</t>
  </si>
  <si>
    <t>Retail w/ Transport</t>
  </si>
  <si>
    <t>Test Year Unbilled removal per Books</t>
  </si>
  <si>
    <t xml:space="preserve">Golden Valley Pipeline &amp; Griffith </t>
  </si>
  <si>
    <t xml:space="preserve">  Small Non-Res Service</t>
  </si>
  <si>
    <t xml:space="preserve">  Large Non-Res Service</t>
  </si>
  <si>
    <t>Retail customer growth is forecasted to be 1.1% from test year to projected year.</t>
  </si>
  <si>
    <t>Retail sales are forecasted to increase by 0.8% higher from test year to projected year.</t>
  </si>
  <si>
    <t>O&amp;M expenses for the projected year are based on projections and budget estimates as of February 2024.</t>
  </si>
  <si>
    <t>Construction expenditures for 2024-2026 are based on projections and budget estimates as of February 2024.</t>
  </si>
  <si>
    <t>The interest rate on temporary investments is forecasted at 4.0% in the projected year.</t>
  </si>
  <si>
    <t>$2.6 mil.</t>
  </si>
  <si>
    <t>($0.5) mil.</t>
  </si>
  <si>
    <t>Change in Credit Facility Balance</t>
  </si>
  <si>
    <t>Equity Investment from UNS Energy</t>
  </si>
  <si>
    <t>Dividends Paid to UNS Energy</t>
  </si>
  <si>
    <t xml:space="preserve">   Purchased Gas Expense</t>
  </si>
  <si>
    <t>Total EDIT Amortization for All Jurisdictions</t>
  </si>
  <si>
    <t>The cost of common equity requested by UNS Gas is 10.25%.</t>
  </si>
  <si>
    <t>5.390% Senior Unsecured Notes due 8/26</t>
  </si>
  <si>
    <t>4.000% Senior Unsecured Notes due 8/45</t>
  </si>
  <si>
    <t>5.600% Senior Unsecured Notes due 6/36</t>
  </si>
  <si>
    <t>(1) Credit Facility Commitment Fees reflect a 0.125% annual commitment fee on 50% of the $125 million credit facility shared with UNS Electric.</t>
  </si>
  <si>
    <t xml:space="preserve">Test Year Adjusted </t>
  </si>
  <si>
    <t>Cares
 Discount *</t>
  </si>
  <si>
    <t>Margin</t>
  </si>
  <si>
    <t>Change</t>
  </si>
  <si>
    <t>Non Gas Revenue</t>
  </si>
  <si>
    <t xml:space="preserve">Purchased Gas </t>
  </si>
  <si>
    <t>Non-Fuel</t>
  </si>
  <si>
    <t>Adjustor
 Revenues</t>
  </si>
  <si>
    <t>Total 
Adjustments</t>
  </si>
  <si>
    <t>Total Proprietary</t>
  </si>
  <si>
    <t xml:space="preserve">FERC 227 </t>
  </si>
  <si>
    <t>$14.0 mil.</t>
  </si>
  <si>
    <t>$16.1 mil.</t>
  </si>
  <si>
    <t>CARES
 Adjustment</t>
  </si>
  <si>
    <t>See attached UNS Gas, Inc. Bank Financials as of  December 31, 2023</t>
  </si>
  <si>
    <t>Pre-Paid Expenses:</t>
  </si>
  <si>
    <t xml:space="preserve">Depreciation &amp; Amortization Expense </t>
  </si>
  <si>
    <t xml:space="preserve">  Other Operating Expenses:</t>
  </si>
  <si>
    <t>(1)  Includes reclassification of $54 thousand for Customer Deposit Interest Expense From Other Interest Expense to Other O&amp;M Expense</t>
  </si>
  <si>
    <t>Return on Average Common Equity - Projected Year-Present Rates - 2022 UNSG Schedule F Backup - CONFIDENTIAL</t>
  </si>
  <si>
    <t>Return on Average Common Equity - Projected Year-Proposed Rates - 2022 UNSG Schedule F Backup - CONFIDENTIAL</t>
  </si>
  <si>
    <t>Return on Year-End Common Equity - Projected Year-Present Rates - 2022 UNSG Schedule F Backup - CONFIDENTIAL</t>
  </si>
  <si>
    <t>Return on Year-End Common Equity - Projected Year-Proposed Rates - 2022 UNSG Schedule F Backup - CONFIDENTIAL</t>
  </si>
  <si>
    <t>Capital Stock
 Expense</t>
  </si>
  <si>
    <t>Accumulated
 Earnings</t>
  </si>
  <si>
    <t>(c)  F-1</t>
  </si>
  <si>
    <t>Income Tax Expense</t>
  </si>
  <si>
    <t>Long-Term Incentive Compensation</t>
  </si>
  <si>
    <t>Customer, Weather &amp; Recalculation of Unbilled Revenue</t>
  </si>
  <si>
    <t xml:space="preserve">Pension and Postretirement </t>
  </si>
  <si>
    <t xml:space="preserve">Changes in Assets and Liabilities </t>
  </si>
  <si>
    <t xml:space="preserve">Accounts Recievable </t>
  </si>
  <si>
    <t>Income Taxes Receivable/Payable</t>
  </si>
  <si>
    <t>Purchase Intangibles, Renewable Energy Credits</t>
  </si>
  <si>
    <t>Capital Expenditures - Utility Capital Assets</t>
  </si>
  <si>
    <t>Other Investing Activities</t>
  </si>
  <si>
    <t>TCJA Refunds Completed</t>
  </si>
  <si>
    <t>Reduction in accruals for LFCR, TCJA, and DSM</t>
  </si>
  <si>
    <t>Total Increase (rounded)</t>
  </si>
  <si>
    <t>ST Debt-Projected Year-Proposed Rates - 2022 UNSG Schedule F Backup - CONFIDENTIAL</t>
  </si>
  <si>
    <t>Common Equity-Projected Year-Present Rates - 2022 UNSG Schedule F Backup - CONFIDENTIAL</t>
  </si>
  <si>
    <t>Projected Years - TY 2011-12 UNSG Schedule A-4 Backup CONFIDENTIAL</t>
  </si>
  <si>
    <t>UNSG Schedule F Backup - CONFIDENTIAL</t>
  </si>
  <si>
    <r>
      <t xml:space="preserve"> ○ </t>
    </r>
    <r>
      <rPr>
        <b/>
        <sz val="8"/>
        <color rgb="FFFF0000"/>
        <rFont val="Arial"/>
        <family val="2"/>
      </rPr>
      <t>UNSG BS Present - Com</t>
    </r>
    <r>
      <rPr>
        <b/>
        <sz val="8"/>
        <color indexed="10"/>
        <rFont val="Arial"/>
        <family val="2"/>
      </rPr>
      <t>mon Stock Equity (Deficit)</t>
    </r>
  </si>
  <si>
    <t>UNSG Schedule D Backup - CONFIDENTIAL</t>
  </si>
  <si>
    <t>Adjusted Gas Retail Revenues</t>
  </si>
  <si>
    <t>Total Gas Sales Revenue</t>
  </si>
  <si>
    <t>FC_Elec_OM_Exp - Total Gas Operation and Maintenance Expense</t>
  </si>
  <si>
    <t>FC_183 - Prelim Survey and Investigation Charges (Gas) (183)</t>
  </si>
  <si>
    <t>Non-gas revenue increase</t>
  </si>
  <si>
    <t>SUMMARY OF REVENUE AND GAS ADJUSTMENTS</t>
  </si>
  <si>
    <t>Total
Adjustments</t>
  </si>
  <si>
    <t xml:space="preserve">Adjusted   </t>
  </si>
  <si>
    <t>Board of Directors Fees</t>
  </si>
  <si>
    <t>SERP</t>
  </si>
  <si>
    <t>Miscellaneous Adjustment</t>
  </si>
  <si>
    <t>Walden 6: Amendment was approved. No pre-paid Pention</t>
  </si>
  <si>
    <t>Depreciation &amp; Amortization Expense Annualization - Retirement</t>
  </si>
  <si>
    <t>D&amp;O Liability Insurance, Dues, and Meals Expense</t>
  </si>
  <si>
    <t>DSM</t>
  </si>
  <si>
    <t>Weighted Cost of Capital (b)</t>
  </si>
  <si>
    <t>Cost
Rate</t>
  </si>
  <si>
    <t>End of Test Period (Actual)</t>
  </si>
  <si>
    <t>End of Test Period (Proposed)</t>
  </si>
  <si>
    <t>Test Year Adjusted Before for Cust/Weather</t>
  </si>
  <si>
    <t>A2-1</t>
  </si>
  <si>
    <t>A8-9</t>
  </si>
  <si>
    <t>A8-11</t>
  </si>
  <si>
    <t>A8-12</t>
  </si>
  <si>
    <t>A8-13</t>
  </si>
  <si>
    <t>A8-14</t>
  </si>
  <si>
    <t>A8-15</t>
  </si>
  <si>
    <t>Sch. C3-2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</si>
</sst>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  <numFmt numFmtId="165" formatCode="General_)"/>
    <numFmt numFmtId="166" formatCode="mmm\-d"/>
    <numFmt numFmtId="167" formatCode="#,##0.0_);\(#,##0.0\)"/>
    <numFmt numFmtId="168" formatCode="_(* #,##0.0000_);_(* \(#,##0.0000\);_(* &quot;-&quot;??_);_(@_)"/>
    <numFmt numFmtId="169" formatCode="0.0%;[Red]\(0.0%\)"/>
    <numFmt numFmtId="170" formatCode="0%;[Red]\(0%\)"/>
    <numFmt numFmtId="171" formatCode="0.0%;\(0.0%\)"/>
    <numFmt numFmtId="172" formatCode="&quot;$&quot;#,##0.0;\(&quot;$&quot;#,##0.0\);&quot;$&quot;#,##0.0"/>
    <numFmt numFmtId="173" formatCode="0_)"/>
    <numFmt numFmtId="174" formatCode="#,##0.0\x_);\(#,##0.0\x\);#,##0.0\x_);@_)"/>
    <numFmt numFmtId="175" formatCode="0.00_)"/>
    <numFmt numFmtId="176" formatCode="#,##0.00;[Red]\(#,##0.00\)"/>
    <numFmt numFmtId="177" formatCode="0%;\(0%\)"/>
    <numFmt numFmtId="178" formatCode="#,##0.0\%_);\(#,##0.0\%\);#,##0.0\%_);@_)"/>
    <numFmt numFmtId="179" formatCode="0.0%"/>
    <numFmt numFmtId="180" formatCode="&quot;   &quot;@"/>
    <numFmt numFmtId="181" formatCode="_(* #,##0_);_(* \(#,##0\);_(* &quot;-&quot;_)"/>
    <numFmt numFmtId="182" formatCode="_(* #,##0_);_(* \(#,##0\);_(* &quot;-&quot;??_);_(@_)"/>
    <numFmt numFmtId="183" formatCode="#,##0.0000_);\(#,##0.0000\)"/>
    <numFmt numFmtId="184" formatCode="0.0000%"/>
    <numFmt numFmtId="185" formatCode="#,##0.00000_);\(#,##0.00000\)"/>
    <numFmt numFmtId="186" formatCode="_(&quot;$&quot;* #,##0_);_(&quot;$&quot;* \(#,##0\);_(&quot;$&quot;* &quot;-&quot;??_);_(@_)"/>
    <numFmt numFmtId="187" formatCode="[$-409]mmmm\ d\,\ yyyy;@"/>
    <numFmt numFmtId="188" formatCode="0.000000"/>
    <numFmt numFmtId="189" formatCode="0.00000"/>
    <numFmt numFmtId="190" formatCode="0.000%"/>
    <numFmt numFmtId="191" formatCode="0.000000%"/>
    <numFmt numFmtId="192" formatCode="#,##0\ ;\(#,##0\)"/>
    <numFmt numFmtId="193" formatCode="&quot;$&quot;#,##0.0000_);\(&quot;$&quot;#,##0.0000\)"/>
    <numFmt numFmtId="194" formatCode="0.0000"/>
    <numFmt numFmtId="195" formatCode="&quot;$&quot;#,##0.000_);\(&quot;$&quot;#,##0.000\)"/>
    <numFmt numFmtId="196" formatCode="0.00\x"/>
    <numFmt numFmtId="197" formatCode="#,##0.0000000_);\(#,##0.0000000\)"/>
    <numFmt numFmtId="198" formatCode="&quot;$&quot;#,##0"/>
    <numFmt numFmtId="199" formatCode="0.0000_)"/>
    <numFmt numFmtId="200" formatCode="m/d/yy;@"/>
  </numFmts>
  <fonts count="14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Small Fonts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u/>
      <sz val="8"/>
      <name val="Arial"/>
      <family val="2"/>
    </font>
    <font>
      <sz val="8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8"/>
      <name val="Times New Roman"/>
      <family val="1"/>
    </font>
    <font>
      <sz val="10"/>
      <name val="Helv"/>
    </font>
    <font>
      <b/>
      <sz val="11"/>
      <color indexed="52"/>
      <name val="Calibri"/>
      <family val="2"/>
    </font>
    <font>
      <b/>
      <sz val="12"/>
      <color indexed="52"/>
      <name val="Arial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sz val="12"/>
      <name val="Arial"/>
      <family val="2"/>
    </font>
    <font>
      <sz val="11"/>
      <color theme="1"/>
      <name val="Calibri"/>
      <family val="2"/>
    </font>
    <font>
      <sz val="11"/>
      <color indexed="8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8"/>
      <name val="Arial Narrow"/>
      <family val="2"/>
    </font>
    <font>
      <b/>
      <sz val="8"/>
      <name val="Arial Narrow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color indexed="62"/>
      <name val="Arial"/>
      <family val="2"/>
    </font>
    <font>
      <b/>
      <sz val="10"/>
      <color indexed="8"/>
      <name val="Arial"/>
      <family val="2"/>
    </font>
    <font>
      <sz val="11"/>
      <color indexed="52"/>
      <name val="Calibri"/>
      <family val="2"/>
    </font>
    <font>
      <sz val="12"/>
      <name val="TimesNewRomanPS"/>
    </font>
    <font>
      <sz val="8"/>
      <name val="Palatino"/>
      <family val="1"/>
    </font>
    <font>
      <sz val="11"/>
      <color indexed="60"/>
      <name val="Calibri"/>
      <family val="2"/>
    </font>
    <font>
      <b/>
      <i/>
      <sz val="16"/>
      <name val="Helv"/>
    </font>
    <font>
      <sz val="12"/>
      <name val="Arial MT"/>
    </font>
    <font>
      <sz val="12"/>
      <color theme="1"/>
      <name val="Arial"/>
      <family val="2"/>
    </font>
    <font>
      <sz val="11"/>
      <name val="Tahoma"/>
      <family val="2"/>
    </font>
    <font>
      <sz val="12"/>
      <color indexed="8"/>
      <name val="Arial"/>
      <family val="2"/>
    </font>
    <font>
      <b/>
      <sz val="11"/>
      <color indexed="63"/>
      <name val="Calibri"/>
      <family val="2"/>
    </font>
    <font>
      <b/>
      <sz val="12"/>
      <color indexed="63"/>
      <name val="Arial"/>
      <family val="2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b/>
      <sz val="10"/>
      <name val="MS Sans Serif"/>
      <family val="2"/>
    </font>
    <font>
      <b/>
      <sz val="12"/>
      <color indexed="8"/>
      <name val="Arial"/>
      <family val="2"/>
    </font>
    <font>
      <sz val="7"/>
      <name val="Small Fonts"/>
      <family val="2"/>
    </font>
    <font>
      <sz val="10"/>
      <name val="Times New Roman"/>
      <family val="1"/>
    </font>
    <font>
      <b/>
      <sz val="9"/>
      <name val="Arial"/>
      <family val="2"/>
    </font>
    <font>
      <sz val="7"/>
      <name val="Times New Roman"/>
      <family val="1"/>
    </font>
    <font>
      <b/>
      <sz val="11"/>
      <color indexed="8"/>
      <name val="Calibri"/>
      <family val="2"/>
    </font>
    <font>
      <sz val="8"/>
      <color indexed="8"/>
      <name val="Wingdings"/>
      <charset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1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trike/>
      <sz val="10"/>
      <name val="Arial"/>
      <family val="2"/>
    </font>
    <font>
      <b/>
      <strike/>
      <sz val="10"/>
      <name val="Arial"/>
      <family val="2"/>
    </font>
    <font>
      <strike/>
      <sz val="10"/>
      <color indexed="12"/>
      <name val="Arial"/>
      <family val="2"/>
    </font>
    <font>
      <strike/>
      <sz val="10"/>
      <color indexed="8"/>
      <name val="Arial"/>
      <family val="2"/>
    </font>
    <font>
      <strike/>
      <sz val="10"/>
      <color indexed="1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8"/>
      <name val="Arial Narrow"/>
      <family val="2"/>
    </font>
    <font>
      <sz val="7"/>
      <name val="Small Fonts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9.8000000000000007"/>
      <color theme="1"/>
      <name val="Arial,sans-serif"/>
    </font>
    <font>
      <sz val="8"/>
      <color theme="1"/>
      <name val="MS Shell Dlg"/>
    </font>
    <font>
      <sz val="10"/>
      <color theme="1"/>
      <name val="MS Shell Dlg"/>
    </font>
    <font>
      <sz val="9"/>
      <color theme="1"/>
      <name val="Helvetica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sz val="8"/>
      <color rgb="FFFF0000"/>
      <name val="Arial"/>
      <family val="2"/>
    </font>
    <font>
      <b/>
      <sz val="10"/>
      <color theme="1"/>
      <name val="Calibri"/>
      <family val="2"/>
    </font>
    <font>
      <sz val="8"/>
      <color rgb="FF333399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Arial"/>
      <family val="2"/>
    </font>
    <font>
      <sz val="10"/>
      <color theme="3" tint="0.39997558519241921"/>
      <name val="Arial"/>
      <family val="2"/>
    </font>
    <font>
      <b/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indexed="10"/>
      <name val="Arial"/>
      <family val="2"/>
    </font>
    <font>
      <b/>
      <u/>
      <sz val="8"/>
      <color indexed="10"/>
      <name val="Arial"/>
      <family val="2"/>
    </font>
    <font>
      <sz val="7"/>
      <name val="Small Fonts"/>
    </font>
    <font>
      <b/>
      <sz val="8"/>
      <color indexed="81"/>
      <name val="Arial"/>
      <family val="2"/>
    </font>
    <font>
      <b/>
      <u/>
      <sz val="8"/>
      <name val="Arial"/>
      <family val="2"/>
    </font>
    <font>
      <b/>
      <u/>
      <sz val="8"/>
      <color rgb="FFFF0000"/>
      <name val="Arial"/>
      <family val="2"/>
    </font>
    <font>
      <sz val="8"/>
      <color indexed="17"/>
      <name val="Arial"/>
      <family val="2"/>
    </font>
    <font>
      <b/>
      <strike/>
      <sz val="8"/>
      <color indexed="10"/>
      <name val="Arial"/>
      <family val="2"/>
    </font>
    <font>
      <sz val="11"/>
      <color theme="1"/>
      <name val="Arial"/>
      <family val="2"/>
    </font>
    <font>
      <u/>
      <sz val="10"/>
      <color theme="10"/>
      <name val="Arial"/>
      <family val="2"/>
    </font>
    <font>
      <b/>
      <sz val="7"/>
      <name val="Small Fonts"/>
      <family val="2"/>
    </font>
    <font>
      <b/>
      <u/>
      <sz val="7"/>
      <name val="Small Fonts"/>
      <family val="2"/>
    </font>
    <font>
      <i/>
      <sz val="8"/>
      <name val="Arial"/>
      <family val="2"/>
    </font>
    <font>
      <b/>
      <i/>
      <sz val="7"/>
      <name val="Small Fonts"/>
      <family val="2"/>
    </font>
    <font>
      <b/>
      <i/>
      <sz val="8"/>
      <color rgb="FFFF0000"/>
      <name val="Arial"/>
      <family val="2"/>
    </font>
    <font>
      <u/>
      <sz val="7"/>
      <name val="Small Fonts"/>
      <family val="2"/>
    </font>
    <font>
      <sz val="8"/>
      <color indexed="47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9"/>
      <color theme="1"/>
      <name val="Helvetica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333399"/>
      <name val="Calibri"/>
      <family val="2"/>
    </font>
    <font>
      <b/>
      <sz val="10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u/>
      <sz val="8"/>
      <color theme="1"/>
      <name val="Arial"/>
      <family val="2"/>
    </font>
    <font>
      <u/>
      <sz val="8"/>
      <color indexed="1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7"/>
      </patternFill>
    </fill>
    <fill>
      <patternFill patternType="mediumGray">
        <fgColor indexed="22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DD9C4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979991"/>
      </left>
      <right style="thin">
        <color indexed="64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indexed="64"/>
      </right>
      <top style="thin">
        <color rgb="FF979991"/>
      </top>
      <bottom/>
      <diagonal/>
    </border>
    <border>
      <left/>
      <right/>
      <top/>
      <bottom style="thick">
        <color rgb="FFB0C4DE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000000"/>
      </top>
      <bottom style="thin">
        <color rgb="FF000000"/>
      </bottom>
      <diagonal/>
    </border>
    <border>
      <left style="thin">
        <color rgb="FFD0D7E5"/>
      </left>
      <right style="thin">
        <color rgb="FFD0D7E5"/>
      </right>
      <top style="thin">
        <color rgb="FF000000"/>
      </top>
      <bottom style="double">
        <color rgb="FF000000"/>
      </bottom>
      <diagonal/>
    </border>
    <border>
      <left style="thin">
        <color rgb="FFD0D7E5"/>
      </left>
      <right style="thin">
        <color rgb="FFD0D7E5"/>
      </right>
      <top style="thin">
        <color rgb="FF000000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439">
    <xf numFmtId="0" fontId="0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4" applyNumberFormat="0" applyFon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5" fontId="14" fillId="0" borderId="5" applyNumberFormat="0" applyFill="0" applyAlignment="0" applyProtection="0"/>
    <xf numFmtId="166" fontId="14" fillId="0" borderId="0" applyFill="0" applyBorder="0" applyAlignment="0"/>
    <xf numFmtId="166" fontId="14" fillId="0" borderId="0" applyFill="0" applyBorder="0" applyAlignment="0"/>
    <xf numFmtId="166" fontId="14" fillId="0" borderId="0" applyFill="0" applyBorder="0" applyAlignment="0"/>
    <xf numFmtId="167" fontId="25" fillId="0" borderId="0" applyFill="0" applyBorder="0" applyAlignment="0"/>
    <xf numFmtId="168" fontId="25" fillId="0" borderId="0" applyFill="0" applyBorder="0" applyAlignment="0"/>
    <xf numFmtId="169" fontId="25" fillId="0" borderId="0" applyFill="0" applyBorder="0" applyAlignment="0"/>
    <xf numFmtId="170" fontId="25" fillId="0" borderId="0" applyFill="0" applyBorder="0" applyAlignment="0"/>
    <xf numFmtId="44" fontId="25" fillId="0" borderId="0" applyFill="0" applyBorder="0" applyAlignment="0"/>
    <xf numFmtId="171" fontId="25" fillId="0" borderId="0" applyFill="0" applyBorder="0" applyAlignment="0"/>
    <xf numFmtId="167" fontId="25" fillId="0" borderId="0" applyFill="0" applyBorder="0" applyAlignment="0"/>
    <xf numFmtId="0" fontId="26" fillId="22" borderId="6" applyNumberFormat="0" applyAlignment="0" applyProtection="0"/>
    <xf numFmtId="0" fontId="26" fillId="22" borderId="6" applyNumberFormat="0" applyAlignment="0" applyProtection="0"/>
    <xf numFmtId="0" fontId="26" fillId="22" borderId="6" applyNumberFormat="0" applyAlignment="0" applyProtection="0"/>
    <xf numFmtId="0" fontId="26" fillId="22" borderId="6" applyNumberFormat="0" applyAlignment="0" applyProtection="0"/>
    <xf numFmtId="0" fontId="26" fillId="22" borderId="6" applyNumberFormat="0" applyAlignment="0" applyProtection="0"/>
    <xf numFmtId="0" fontId="26" fillId="22" borderId="6" applyNumberFormat="0" applyAlignment="0" applyProtection="0"/>
    <xf numFmtId="0" fontId="27" fillId="22" borderId="6" applyNumberFormat="0" applyAlignment="0" applyProtection="0"/>
    <xf numFmtId="0" fontId="27" fillId="22" borderId="6" applyNumberFormat="0" applyAlignment="0" applyProtection="0"/>
    <xf numFmtId="0" fontId="27" fillId="22" borderId="6" applyNumberFormat="0" applyAlignment="0" applyProtection="0"/>
    <xf numFmtId="0" fontId="27" fillId="22" borderId="6" applyNumberFormat="0" applyAlignment="0" applyProtection="0"/>
    <xf numFmtId="0" fontId="27" fillId="22" borderId="6" applyNumberFormat="0" applyAlignment="0" applyProtection="0"/>
    <xf numFmtId="0" fontId="27" fillId="22" borderId="6" applyNumberFormat="0" applyAlignment="0" applyProtection="0"/>
    <xf numFmtId="0" fontId="27" fillId="22" borderId="6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9" fillId="24" borderId="0">
      <alignment horizontal="left"/>
    </xf>
    <xf numFmtId="0" fontId="30" fillId="24" borderId="0">
      <alignment horizontal="right"/>
    </xf>
    <xf numFmtId="0" fontId="31" fillId="25" borderId="0">
      <alignment horizontal="center"/>
    </xf>
    <xf numFmtId="0" fontId="30" fillId="24" borderId="0">
      <alignment horizontal="right"/>
    </xf>
    <xf numFmtId="0" fontId="32" fillId="25" borderId="0">
      <alignment horizontal="left"/>
    </xf>
    <xf numFmtId="44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24" fillId="0" borderId="0" applyFont="0" applyFill="0" applyBorder="0" applyAlignment="0" applyProtection="0">
      <protection locked="0"/>
    </xf>
    <xf numFmtId="167" fontId="2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8" fontId="15" fillId="0" borderId="0" applyFont="0" applyFill="0" applyBorder="0" applyAlignment="0" applyProtection="0"/>
    <xf numFmtId="8" fontId="15" fillId="0" borderId="0" applyFont="0" applyFill="0" applyBorder="0" applyAlignment="0" applyProtection="0"/>
    <xf numFmtId="8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24" fillId="0" borderId="0" applyFont="0" applyFill="0" applyBorder="0" applyProtection="0">
      <alignment horizontal="right"/>
    </xf>
    <xf numFmtId="14" fontId="37" fillId="0" borderId="0" applyFill="0" applyBorder="0" applyAlignment="0"/>
    <xf numFmtId="0" fontId="38" fillId="0" borderId="0" applyNumberFormat="0" applyFont="0" applyBorder="0" applyAlignment="0">
      <alignment horizontal="centerContinuous"/>
    </xf>
    <xf numFmtId="0" fontId="39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9" fillId="0" borderId="0" applyNumberFormat="0" applyFont="0" applyBorder="0" applyAlignment="0">
      <alignment horizontal="centerContinuous"/>
    </xf>
    <xf numFmtId="0" fontId="39" fillId="0" borderId="0" applyNumberFormat="0" applyFont="0" applyBorder="0" applyAlignment="0">
      <alignment horizontal="centerContinuous"/>
    </xf>
    <xf numFmtId="44" fontId="25" fillId="0" borderId="0" applyFill="0" applyBorder="0" applyAlignment="0"/>
    <xf numFmtId="167" fontId="25" fillId="0" borderId="0" applyFill="0" applyBorder="0" applyAlignment="0"/>
    <xf numFmtId="44" fontId="25" fillId="0" borderId="0" applyFill="0" applyBorder="0" applyAlignment="0"/>
    <xf numFmtId="171" fontId="25" fillId="0" borderId="0" applyFill="0" applyBorder="0" applyAlignment="0"/>
    <xf numFmtId="167" fontId="25" fillId="0" borderId="0" applyFill="0" applyBorder="0" applyAlignment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2" fillId="0" borderId="8" applyNumberFormat="0" applyAlignment="0" applyProtection="0">
      <alignment horizontal="left" vertical="center"/>
    </xf>
    <xf numFmtId="0" fontId="42" fillId="0" borderId="3">
      <alignment horizontal="left" vertical="center"/>
    </xf>
    <xf numFmtId="0" fontId="42" fillId="0" borderId="3">
      <alignment horizontal="left" vertical="center"/>
    </xf>
    <xf numFmtId="0" fontId="42" fillId="0" borderId="3">
      <alignment horizontal="left" vertical="center"/>
    </xf>
    <xf numFmtId="0" fontId="42" fillId="0" borderId="3">
      <alignment horizontal="left" vertical="center"/>
    </xf>
    <xf numFmtId="0" fontId="42" fillId="0" borderId="3">
      <alignment horizontal="left" vertical="center"/>
    </xf>
    <xf numFmtId="0" fontId="42" fillId="0" borderId="3">
      <alignment horizontal="left" vertical="center"/>
    </xf>
    <xf numFmtId="0" fontId="42" fillId="0" borderId="3">
      <alignment horizontal="left" vertical="center"/>
    </xf>
    <xf numFmtId="0" fontId="43" fillId="0" borderId="9" applyNumberFormat="0" applyFill="0" applyAlignment="0" applyProtection="0"/>
    <xf numFmtId="0" fontId="43" fillId="0" borderId="9" applyNumberFormat="0" applyFill="0" applyAlignment="0" applyProtection="0"/>
    <xf numFmtId="0" fontId="44" fillId="0" borderId="10" applyNumberFormat="0" applyFill="0" applyAlignment="0" applyProtection="0"/>
    <xf numFmtId="0" fontId="44" fillId="0" borderId="10" applyNumberFormat="0" applyFill="0" applyAlignment="0" applyProtection="0"/>
    <xf numFmtId="0" fontId="45" fillId="0" borderId="11" applyNumberFormat="0" applyFill="0" applyAlignment="0" applyProtection="0"/>
    <xf numFmtId="0" fontId="45" fillId="0" borderId="11" applyNumberFormat="0" applyFill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9" borderId="6" applyNumberFormat="0" applyAlignment="0" applyProtection="0"/>
    <xf numFmtId="0" fontId="46" fillId="9" borderId="6" applyNumberFormat="0" applyAlignment="0" applyProtection="0"/>
    <xf numFmtId="0" fontId="46" fillId="9" borderId="6" applyNumberFormat="0" applyAlignment="0" applyProtection="0"/>
    <xf numFmtId="0" fontId="46" fillId="9" borderId="6" applyNumberFormat="0" applyAlignment="0" applyProtection="0"/>
    <xf numFmtId="0" fontId="46" fillId="9" borderId="6" applyNumberFormat="0" applyAlignment="0" applyProtection="0"/>
    <xf numFmtId="0" fontId="46" fillId="9" borderId="6" applyNumberFormat="0" applyAlignment="0" applyProtection="0"/>
    <xf numFmtId="0" fontId="47" fillId="9" borderId="6" applyNumberFormat="0" applyAlignment="0" applyProtection="0"/>
    <xf numFmtId="0" fontId="47" fillId="9" borderId="6" applyNumberFormat="0" applyAlignment="0" applyProtection="0"/>
    <xf numFmtId="0" fontId="47" fillId="9" borderId="6" applyNumberFormat="0" applyAlignment="0" applyProtection="0"/>
    <xf numFmtId="0" fontId="47" fillId="9" borderId="6" applyNumberFormat="0" applyAlignment="0" applyProtection="0"/>
    <xf numFmtId="0" fontId="47" fillId="9" borderId="6" applyNumberFormat="0" applyAlignment="0" applyProtection="0"/>
    <xf numFmtId="0" fontId="47" fillId="9" borderId="6" applyNumberFormat="0" applyAlignment="0" applyProtection="0"/>
    <xf numFmtId="0" fontId="47" fillId="9" borderId="6" applyNumberFormat="0" applyAlignment="0" applyProtection="0"/>
    <xf numFmtId="0" fontId="29" fillId="24" borderId="0">
      <alignment horizontal="left"/>
    </xf>
    <xf numFmtId="0" fontId="48" fillId="25" borderId="0">
      <alignment horizontal="left"/>
    </xf>
    <xf numFmtId="44" fontId="25" fillId="0" borderId="0" applyFill="0" applyBorder="0" applyAlignment="0"/>
    <xf numFmtId="167" fontId="25" fillId="0" borderId="0" applyFill="0" applyBorder="0" applyAlignment="0"/>
    <xf numFmtId="44" fontId="25" fillId="0" borderId="0" applyFill="0" applyBorder="0" applyAlignment="0"/>
    <xf numFmtId="171" fontId="25" fillId="0" borderId="0" applyFill="0" applyBorder="0" applyAlignment="0"/>
    <xf numFmtId="167" fontId="25" fillId="0" borderId="0" applyFill="0" applyBorder="0" applyAlignment="0"/>
    <xf numFmtId="0" fontId="49" fillId="0" borderId="12" applyNumberFormat="0" applyFill="0" applyAlignment="0" applyProtection="0"/>
    <xf numFmtId="0" fontId="49" fillId="0" borderId="12" applyNumberFormat="0" applyFill="0" applyAlignment="0" applyProtection="0"/>
    <xf numFmtId="173" fontId="50" fillId="0" borderId="13">
      <alignment horizontal="center"/>
    </xf>
    <xf numFmtId="174" fontId="51" fillId="0" borderId="0" applyFont="0" applyFill="0" applyBorder="0" applyProtection="0">
      <alignment horizontal="right"/>
    </xf>
    <xf numFmtId="0" fontId="52" fillId="26" borderId="0" applyNumberFormat="0" applyBorder="0" applyAlignment="0" applyProtection="0"/>
    <xf numFmtId="0" fontId="52" fillId="26" borderId="0" applyNumberFormat="0" applyBorder="0" applyAlignment="0" applyProtection="0"/>
    <xf numFmtId="175" fontId="53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3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3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4" fillId="0" borderId="0"/>
    <xf numFmtId="0" fontId="5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5" fillId="0" borderId="0"/>
    <xf numFmtId="0" fontId="55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34" fillId="0" borderId="0"/>
    <xf numFmtId="0" fontId="34" fillId="0" borderId="0"/>
    <xf numFmtId="0" fontId="15" fillId="0" borderId="0"/>
    <xf numFmtId="0" fontId="15" fillId="0" borderId="0"/>
    <xf numFmtId="0" fontId="15" fillId="0" borderId="0"/>
    <xf numFmtId="0" fontId="5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4" fillId="0" borderId="0"/>
    <xf numFmtId="0" fontId="14" fillId="0" borderId="0"/>
    <xf numFmtId="0" fontId="14" fillId="0" borderId="0"/>
    <xf numFmtId="0" fontId="5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14" fillId="27" borderId="14" applyNumberFormat="0" applyFont="0" applyAlignment="0" applyProtection="0"/>
    <xf numFmtId="0" fontId="57" fillId="27" borderId="14" applyNumberFormat="0" applyFont="0" applyAlignment="0" applyProtection="0"/>
    <xf numFmtId="0" fontId="57" fillId="27" borderId="14" applyNumberFormat="0" applyFont="0" applyAlignment="0" applyProtection="0"/>
    <xf numFmtId="0" fontId="57" fillId="27" borderId="14" applyNumberFormat="0" applyFont="0" applyAlignment="0" applyProtection="0"/>
    <xf numFmtId="0" fontId="57" fillId="27" borderId="14" applyNumberFormat="0" applyFont="0" applyAlignment="0" applyProtection="0"/>
    <xf numFmtId="0" fontId="57" fillId="27" borderId="14" applyNumberFormat="0" applyFont="0" applyAlignment="0" applyProtection="0"/>
    <xf numFmtId="0" fontId="57" fillId="27" borderId="14" applyNumberFormat="0" applyFont="0" applyAlignment="0" applyProtection="0"/>
    <xf numFmtId="0" fontId="57" fillId="27" borderId="14" applyNumberFormat="0" applyFon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8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0" fontId="59" fillId="22" borderId="15" applyNumberFormat="0" applyAlignment="0" applyProtection="0"/>
    <xf numFmtId="176" fontId="37" fillId="25" borderId="0">
      <alignment horizontal="right"/>
    </xf>
    <xf numFmtId="0" fontId="60" fillId="28" borderId="0">
      <alignment horizontal="center"/>
    </xf>
    <xf numFmtId="0" fontId="29" fillId="29" borderId="16"/>
    <xf numFmtId="0" fontId="61" fillId="0" borderId="0" applyBorder="0">
      <alignment horizontal="centerContinuous"/>
    </xf>
    <xf numFmtId="0" fontId="62" fillId="0" borderId="0" applyBorder="0">
      <alignment horizontal="centerContinuous"/>
    </xf>
    <xf numFmtId="0" fontId="63" fillId="0" borderId="0" applyFill="0" applyBorder="0" applyProtection="0">
      <alignment horizontal="left"/>
    </xf>
    <xf numFmtId="0" fontId="64" fillId="0" borderId="0" applyFill="0" applyBorder="0" applyProtection="0">
      <alignment horizontal="left"/>
    </xf>
    <xf numFmtId="170" fontId="25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78" fontId="24" fillId="0" borderId="0" applyFont="0" applyFill="0" applyBorder="0" applyProtection="0">
      <alignment horizontal="right"/>
    </xf>
    <xf numFmtId="44" fontId="25" fillId="0" borderId="0" applyFill="0" applyBorder="0" applyAlignment="0"/>
    <xf numFmtId="167" fontId="25" fillId="0" borderId="0" applyFill="0" applyBorder="0" applyAlignment="0"/>
    <xf numFmtId="44" fontId="25" fillId="0" borderId="0" applyFill="0" applyBorder="0" applyAlignment="0"/>
    <xf numFmtId="171" fontId="25" fillId="0" borderId="0" applyFill="0" applyBorder="0" applyAlignment="0"/>
    <xf numFmtId="167" fontId="25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0" fontId="15" fillId="0" borderId="0" applyNumberFormat="0" applyFont="0" applyFill="0" applyBorder="0" applyAlignment="0" applyProtection="0">
      <alignment horizontal="left"/>
    </xf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15" fontId="15" fillId="0" borderId="0" applyFont="0" applyFill="0" applyBorder="0" applyAlignment="0" applyProtection="0"/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0" fontId="65" fillId="0" borderId="4">
      <alignment horizontal="center"/>
    </xf>
    <xf numFmtId="3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5" fillId="30" borderId="0" applyNumberFormat="0" applyFont="0" applyBorder="0" applyAlignment="0" applyProtection="0"/>
    <xf numFmtId="0" fontId="15" fillId="30" borderId="0" applyNumberFormat="0" applyFont="0" applyBorder="0" applyAlignment="0" applyProtection="0"/>
    <xf numFmtId="0" fontId="15" fillId="30" borderId="0" applyNumberFormat="0" applyFont="0" applyBorder="0" applyAlignment="0" applyProtection="0"/>
    <xf numFmtId="0" fontId="48" fillId="26" borderId="0">
      <alignment horizontal="center"/>
    </xf>
    <xf numFmtId="49" fontId="66" fillId="25" borderId="0">
      <alignment horizontal="center"/>
    </xf>
    <xf numFmtId="0" fontId="30" fillId="24" borderId="0">
      <alignment horizontal="center"/>
    </xf>
    <xf numFmtId="0" fontId="30" fillId="24" borderId="0">
      <alignment horizontal="centerContinuous"/>
    </xf>
    <xf numFmtId="0" fontId="16" fillId="25" borderId="0">
      <alignment horizontal="left"/>
    </xf>
    <xf numFmtId="49" fontId="16" fillId="25" borderId="0">
      <alignment horizontal="center"/>
    </xf>
    <xf numFmtId="0" fontId="29" fillId="24" borderId="0">
      <alignment horizontal="left"/>
    </xf>
    <xf numFmtId="49" fontId="16" fillId="25" borderId="0">
      <alignment horizontal="left"/>
    </xf>
    <xf numFmtId="0" fontId="29" fillId="24" borderId="0">
      <alignment horizontal="centerContinuous"/>
    </xf>
    <xf numFmtId="0" fontId="29" fillId="24" borderId="0">
      <alignment horizontal="right"/>
    </xf>
    <xf numFmtId="49" fontId="48" fillId="25" borderId="0">
      <alignment horizontal="left"/>
    </xf>
    <xf numFmtId="0" fontId="30" fillId="24" borderId="0">
      <alignment horizontal="right"/>
    </xf>
    <xf numFmtId="0" fontId="16" fillId="9" borderId="0">
      <alignment horizontal="center"/>
    </xf>
    <xf numFmtId="0" fontId="18" fillId="9" borderId="0">
      <alignment horizontal="center"/>
    </xf>
    <xf numFmtId="179" fontId="10" fillId="0" borderId="1"/>
    <xf numFmtId="179" fontId="67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10" fillId="0" borderId="1"/>
    <xf numFmtId="179" fontId="67" fillId="0" borderId="1"/>
    <xf numFmtId="179" fontId="67" fillId="0" borderId="1"/>
    <xf numFmtId="0" fontId="68" fillId="31" borderId="0" applyNumberFormat="0" applyFont="0" applyBorder="0" applyAlignment="0" applyProtection="0"/>
    <xf numFmtId="0" fontId="14" fillId="0" borderId="0"/>
    <xf numFmtId="0" fontId="14" fillId="0" borderId="0"/>
    <xf numFmtId="0" fontId="14" fillId="0" borderId="0"/>
    <xf numFmtId="0" fontId="69" fillId="0" borderId="0" applyFill="0" applyBorder="0" applyProtection="0">
      <alignment horizontal="center" vertical="center"/>
    </xf>
    <xf numFmtId="0" fontId="69" fillId="0" borderId="0" applyFill="0" applyBorder="0" applyProtection="0"/>
    <xf numFmtId="0" fontId="11" fillId="0" borderId="0" applyFill="0" applyBorder="0" applyProtection="0">
      <alignment horizontal="left"/>
    </xf>
    <xf numFmtId="0" fontId="70" fillId="0" borderId="0" applyFill="0" applyBorder="0" applyProtection="0">
      <alignment horizontal="left" vertical="top"/>
    </xf>
    <xf numFmtId="49" fontId="37" fillId="0" borderId="0" applyFill="0" applyBorder="0" applyAlignment="0"/>
    <xf numFmtId="180" fontId="25" fillId="0" borderId="0" applyFill="0" applyBorder="0" applyAlignment="0"/>
    <xf numFmtId="181" fontId="25" fillId="0" borderId="0" applyFill="0" applyBorder="0" applyAlignment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71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72" fillId="25" borderId="0">
      <alignment horizontal="center"/>
    </xf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65" fontId="24" fillId="0" borderId="0" applyFont="0" applyFill="0" applyBorder="0" applyProtection="0">
      <alignment horizontal="right"/>
    </xf>
    <xf numFmtId="0" fontId="14" fillId="0" borderId="0"/>
    <xf numFmtId="179" fontId="10" fillId="0" borderId="1"/>
    <xf numFmtId="179" fontId="10" fillId="0" borderId="1"/>
    <xf numFmtId="179" fontId="10" fillId="0" borderId="1"/>
    <xf numFmtId="0" fontId="8" fillId="0" borderId="0"/>
    <xf numFmtId="0" fontId="8" fillId="0" borderId="0"/>
    <xf numFmtId="0" fontId="8" fillId="0" borderId="0"/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8" fillId="0" borderId="0"/>
    <xf numFmtId="0" fontId="8" fillId="0" borderId="0"/>
    <xf numFmtId="0" fontId="8" fillId="0" borderId="0"/>
    <xf numFmtId="179" fontId="10" fillId="0" borderId="1"/>
    <xf numFmtId="179" fontId="10" fillId="0" borderId="1"/>
    <xf numFmtId="179" fontId="10" fillId="0" borderId="1"/>
    <xf numFmtId="0" fontId="14" fillId="0" borderId="0"/>
    <xf numFmtId="0" fontId="14" fillId="0" borderId="0"/>
    <xf numFmtId="0" fontId="7" fillId="0" borderId="0"/>
    <xf numFmtId="0" fontId="6" fillId="0" borderId="0"/>
    <xf numFmtId="0" fontId="14" fillId="0" borderId="0"/>
    <xf numFmtId="44" fontId="91" fillId="0" borderId="0" applyFont="0" applyFill="0" applyBorder="0" applyAlignment="0" applyProtection="0"/>
    <xf numFmtId="0" fontId="14" fillId="0" borderId="0"/>
    <xf numFmtId="43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179" fontId="10" fillId="0" borderId="1"/>
    <xf numFmtId="179" fontId="10" fillId="0" borderId="1"/>
    <xf numFmtId="179" fontId="10" fillId="0" borderId="1"/>
    <xf numFmtId="0" fontId="5" fillId="0" borderId="0"/>
    <xf numFmtId="0" fontId="5" fillId="0" borderId="0"/>
    <xf numFmtId="0" fontId="5" fillId="0" borderId="0"/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5" fillId="0" borderId="0"/>
    <xf numFmtId="0" fontId="5" fillId="0" borderId="0"/>
    <xf numFmtId="0" fontId="5" fillId="0" borderId="0"/>
    <xf numFmtId="179" fontId="10" fillId="0" borderId="1"/>
    <xf numFmtId="179" fontId="10" fillId="0" borderId="1"/>
    <xf numFmtId="179" fontId="10" fillId="0" borderId="1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1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10" fillId="0" borderId="1"/>
    <xf numFmtId="179" fontId="10" fillId="0" borderId="1"/>
    <xf numFmtId="179" fontId="10" fillId="0" borderId="1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9" fontId="10" fillId="0" borderId="1"/>
    <xf numFmtId="179" fontId="10" fillId="0" borderId="1"/>
    <xf numFmtId="179" fontId="10" fillId="0" borderId="1"/>
    <xf numFmtId="43" fontId="1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4" fillId="0" borderId="0" applyFont="0" applyFill="0" applyBorder="0" applyAlignment="0" applyProtection="0"/>
    <xf numFmtId="179" fontId="10" fillId="0" borderId="1"/>
    <xf numFmtId="179" fontId="10" fillId="0" borderId="1"/>
    <xf numFmtId="179" fontId="10" fillId="0" borderId="1"/>
    <xf numFmtId="0" fontId="14" fillId="0" borderId="0"/>
    <xf numFmtId="0" fontId="14" fillId="0" borderId="0"/>
    <xf numFmtId="0" fontId="93" fillId="0" borderId="0" applyNumberFormat="0" applyFont="0" applyBorder="0" applyAlignment="0">
      <alignment horizontal="centerContinuous"/>
    </xf>
    <xf numFmtId="179" fontId="94" fillId="0" borderId="1"/>
    <xf numFmtId="0" fontId="95" fillId="0" borderId="0"/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38" fillId="0" borderId="0" applyNumberFormat="0" applyFont="0" applyBorder="0" applyAlignment="0">
      <alignment horizontal="centerContinuous"/>
    </xf>
    <xf numFmtId="0" fontId="2" fillId="0" borderId="0"/>
    <xf numFmtId="0" fontId="2" fillId="0" borderId="0"/>
    <xf numFmtId="0" fontId="2" fillId="0" borderId="0"/>
    <xf numFmtId="179" fontId="10" fillId="0" borderId="1"/>
    <xf numFmtId="179" fontId="10" fillId="0" borderId="1"/>
    <xf numFmtId="179" fontId="10" fillId="0" borderId="1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9" fontId="3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43" fontId="1" fillId="0" borderId="0" applyFont="0" applyFill="0" applyBorder="0" applyAlignment="0" applyProtection="0"/>
    <xf numFmtId="0" fontId="34" fillId="0" borderId="0"/>
    <xf numFmtId="0" fontId="15" fillId="0" borderId="0"/>
    <xf numFmtId="43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0" fillId="0" borderId="0"/>
    <xf numFmtId="38" fontId="114" fillId="0" borderId="0"/>
    <xf numFmtId="40" fontId="15" fillId="0" borderId="0" applyFont="0" applyFill="0" applyBorder="0" applyAlignment="0" applyProtection="0"/>
    <xf numFmtId="38" fontId="114" fillId="0" borderId="0"/>
    <xf numFmtId="0" fontId="10" fillId="0" borderId="0"/>
    <xf numFmtId="0" fontId="10" fillId="0" borderId="0"/>
    <xf numFmtId="0" fontId="10" fillId="0" borderId="0"/>
    <xf numFmtId="0" fontId="120" fillId="0" borderId="0"/>
    <xf numFmtId="0" fontId="121" fillId="0" borderId="0" applyNumberFormat="0" applyFill="0" applyBorder="0" applyAlignment="0" applyProtection="0"/>
    <xf numFmtId="37" fontId="114" fillId="0" borderId="0"/>
    <xf numFmtId="38" fontId="10" fillId="0" borderId="0"/>
    <xf numFmtId="0" fontId="15" fillId="0" borderId="0"/>
    <xf numFmtId="0" fontId="15" fillId="0" borderId="0"/>
    <xf numFmtId="0" fontId="15" fillId="0" borderId="0"/>
  </cellStyleXfs>
  <cellXfs count="1218">
    <xf numFmtId="0" fontId="0" fillId="0" borderId="0" xfId="0"/>
    <xf numFmtId="37" fontId="11" fillId="0" borderId="0" xfId="0" applyNumberFormat="1" applyFont="1" applyAlignment="1">
      <alignment horizontal="centerContinuous" vertical="center"/>
    </xf>
    <xf numFmtId="0" fontId="0" fillId="0" borderId="0" xfId="0" applyAlignment="1">
      <alignment vertical="center"/>
    </xf>
    <xf numFmtId="37" fontId="14" fillId="0" borderId="0" xfId="0" applyNumberFormat="1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37" fontId="0" fillId="0" borderId="0" xfId="0" applyNumberFormat="1" applyAlignment="1">
      <alignment vertical="center"/>
    </xf>
    <xf numFmtId="0" fontId="11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37" fontId="79" fillId="0" borderId="0" xfId="0" applyNumberFormat="1" applyFont="1" applyAlignment="1">
      <alignment horizontal="center" vertical="center"/>
    </xf>
    <xf numFmtId="37" fontId="80" fillId="0" borderId="0" xfId="0" applyNumberFormat="1" applyFont="1" applyAlignment="1">
      <alignment horizontal="center" vertical="center"/>
    </xf>
    <xf numFmtId="37" fontId="14" fillId="0" borderId="0" xfId="0" applyNumberFormat="1" applyFont="1" applyAlignment="1">
      <alignment vertical="center"/>
    </xf>
    <xf numFmtId="37" fontId="14" fillId="0" borderId="0" xfId="0" applyNumberFormat="1" applyFont="1" applyAlignment="1">
      <alignment horizontal="center" vertical="center"/>
    </xf>
    <xf numFmtId="5" fontId="11" fillId="33" borderId="21" xfId="0" applyNumberFormat="1" applyFont="1" applyFill="1" applyBorder="1" applyAlignment="1">
      <alignment horizontal="center" vertical="center"/>
    </xf>
    <xf numFmtId="5" fontId="11" fillId="0" borderId="0" xfId="0" applyNumberFormat="1" applyFont="1" applyAlignment="1">
      <alignment horizontal="center" vertical="center"/>
    </xf>
    <xf numFmtId="17" fontId="14" fillId="0" borderId="0" xfId="0" applyNumberFormat="1" applyFont="1" applyAlignment="1">
      <alignment horizontal="center" vertical="center" wrapText="1"/>
    </xf>
    <xf numFmtId="37" fontId="42" fillId="0" borderId="0" xfId="0" applyNumberFormat="1" applyFont="1" applyAlignment="1">
      <alignment horizontal="center" vertical="center"/>
    </xf>
    <xf numFmtId="37" fontId="74" fillId="0" borderId="0" xfId="0" applyNumberFormat="1" applyFont="1" applyAlignment="1">
      <alignment horizontal="center" vertical="center"/>
    </xf>
    <xf numFmtId="37" fontId="48" fillId="0" borderId="0" xfId="0" applyNumberFormat="1" applyFont="1" applyAlignment="1">
      <alignment horizontal="center" vertical="center"/>
    </xf>
    <xf numFmtId="37" fontId="11" fillId="0" borderId="0" xfId="0" applyNumberFormat="1" applyFont="1" applyAlignment="1">
      <alignment horizontal="center" vertical="center"/>
    </xf>
    <xf numFmtId="37" fontId="11" fillId="0" borderId="0" xfId="0" applyNumberFormat="1" applyFont="1" applyAlignment="1">
      <alignment horizontal="left" vertical="center"/>
    </xf>
    <xf numFmtId="5" fontId="11" fillId="0" borderId="0" xfId="0" applyNumberFormat="1" applyFont="1" applyAlignment="1">
      <alignment horizontal="center" vertical="center" wrapText="1"/>
    </xf>
    <xf numFmtId="37" fontId="11" fillId="0" borderId="19" xfId="0" applyNumberFormat="1" applyFont="1" applyBorder="1" applyAlignment="1">
      <alignment horizontal="center" vertical="center" wrapText="1"/>
    </xf>
    <xf numFmtId="37" fontId="11" fillId="0" borderId="19" xfId="0" applyNumberFormat="1" applyFont="1" applyBorder="1" applyAlignment="1">
      <alignment horizontal="center" vertical="center"/>
    </xf>
    <xf numFmtId="37" fontId="48" fillId="0" borderId="19" xfId="0" applyNumberFormat="1" applyFont="1" applyBorder="1" applyAlignment="1">
      <alignment horizontal="center" vertical="center" wrapText="1"/>
    </xf>
    <xf numFmtId="37" fontId="78" fillId="0" borderId="0" xfId="0" applyNumberFormat="1" applyFont="1" applyAlignment="1">
      <alignment horizontal="center" vertical="center" wrapText="1"/>
    </xf>
    <xf numFmtId="37" fontId="37" fillId="0" borderId="0" xfId="0" applyNumberFormat="1" applyFont="1" applyAlignment="1">
      <alignment horizontal="center" vertical="center" wrapText="1"/>
    </xf>
    <xf numFmtId="37" fontId="83" fillId="0" borderId="0" xfId="0" applyNumberFormat="1" applyFont="1" applyAlignment="1">
      <alignment vertical="center"/>
    </xf>
    <xf numFmtId="37" fontId="11" fillId="0" borderId="19" xfId="0" applyNumberFormat="1" applyFont="1" applyBorder="1" applyAlignment="1">
      <alignment horizontal="left" vertical="center"/>
    </xf>
    <xf numFmtId="37" fontId="14" fillId="34" borderId="0" xfId="0" applyNumberFormat="1" applyFont="1" applyFill="1" applyAlignment="1">
      <alignment vertical="center"/>
    </xf>
    <xf numFmtId="37" fontId="37" fillId="3" borderId="0" xfId="0" applyNumberFormat="1" applyFont="1" applyFill="1" applyAlignment="1">
      <alignment horizontal="center" vertical="center" wrapText="1"/>
    </xf>
    <xf numFmtId="37" fontId="83" fillId="0" borderId="0" xfId="0" applyNumberFormat="1" applyFont="1" applyAlignment="1">
      <alignment horizontal="center" vertical="center" wrapText="1"/>
    </xf>
    <xf numFmtId="37" fontId="14" fillId="34" borderId="0" xfId="0" applyNumberFormat="1" applyFont="1" applyFill="1" applyAlignment="1">
      <alignment horizontal="center" vertical="center"/>
    </xf>
    <xf numFmtId="37" fontId="11" fillId="0" borderId="3" xfId="0" applyNumberFormat="1" applyFont="1" applyBorder="1" applyAlignment="1">
      <alignment vertical="center"/>
    </xf>
    <xf numFmtId="37" fontId="11" fillId="0" borderId="0" xfId="0" applyNumberFormat="1" applyFont="1" applyAlignment="1">
      <alignment vertical="center"/>
    </xf>
    <xf numFmtId="37" fontId="11" fillId="0" borderId="3" xfId="0" applyNumberFormat="1" applyFont="1" applyBorder="1" applyAlignment="1">
      <alignment horizontal="left" vertical="center"/>
    </xf>
    <xf numFmtId="37" fontId="11" fillId="0" borderId="18" xfId="0" applyNumberFormat="1" applyFont="1" applyBorder="1" applyAlignment="1">
      <alignment horizontal="left" vertical="center"/>
    </xf>
    <xf numFmtId="37" fontId="11" fillId="34" borderId="19" xfId="0" applyNumberFormat="1" applyFont="1" applyFill="1" applyBorder="1" applyAlignment="1">
      <alignment horizontal="center" vertical="center"/>
    </xf>
    <xf numFmtId="37" fontId="11" fillId="3" borderId="19" xfId="0" applyNumberFormat="1" applyFont="1" applyFill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37" fontId="11" fillId="0" borderId="19" xfId="0" quotePrefix="1" applyNumberFormat="1" applyFont="1" applyBorder="1" applyAlignment="1">
      <alignment horizontal="left" vertical="center"/>
    </xf>
    <xf numFmtId="37" fontId="48" fillId="0" borderId="0" xfId="0" applyNumberFormat="1" applyFont="1" applyAlignment="1">
      <alignment horizontal="center" vertical="center" wrapText="1"/>
    </xf>
    <xf numFmtId="5" fontId="14" fillId="0" borderId="0" xfId="0" applyNumberFormat="1" applyFont="1" applyAlignment="1">
      <alignment horizontal="center" vertical="center"/>
    </xf>
    <xf numFmtId="37" fontId="14" fillId="0" borderId="0" xfId="0" applyNumberFormat="1" applyFont="1" applyAlignment="1">
      <alignment horizontal="right" vertical="center"/>
    </xf>
    <xf numFmtId="37" fontId="82" fillId="0" borderId="0" xfId="0" applyNumberFormat="1" applyFont="1" applyAlignment="1">
      <alignment vertical="center"/>
    </xf>
    <xf numFmtId="37" fontId="11" fillId="0" borderId="0" xfId="0" applyNumberFormat="1" applyFont="1" applyAlignment="1" applyProtection="1">
      <alignment horizontal="center" vertical="center" wrapText="1"/>
      <protection locked="0"/>
    </xf>
    <xf numFmtId="37" fontId="11" fillId="0" borderId="19" xfId="0" applyNumberFormat="1" applyFont="1" applyBorder="1" applyAlignment="1" applyProtection="1">
      <alignment horizontal="center" vertical="center" wrapText="1"/>
      <protection locked="0"/>
    </xf>
    <xf numFmtId="37" fontId="78" fillId="0" borderId="0" xfId="0" applyNumberFormat="1" applyFont="1" applyAlignment="1" applyProtection="1">
      <alignment horizontal="center" vertical="center" wrapText="1"/>
      <protection locked="0"/>
    </xf>
    <xf numFmtId="37" fontId="14" fillId="0" borderId="0" xfId="0" applyNumberFormat="1" applyFont="1" applyAlignment="1" applyProtection="1">
      <alignment horizontal="center" vertical="center"/>
      <protection locked="0"/>
    </xf>
    <xf numFmtId="37" fontId="80" fillId="0" borderId="0" xfId="0" applyNumberFormat="1" applyFont="1" applyAlignment="1" applyProtection="1">
      <alignment horizontal="center" vertical="center"/>
      <protection locked="0"/>
    </xf>
    <xf numFmtId="37" fontId="77" fillId="0" borderId="0" xfId="0" applyNumberFormat="1" applyFont="1" applyAlignment="1" applyProtection="1">
      <alignment horizontal="center" vertical="center"/>
      <protection locked="0"/>
    </xf>
    <xf numFmtId="37" fontId="11" fillId="0" borderId="0" xfId="0" applyNumberFormat="1" applyFont="1" applyAlignment="1" applyProtection="1">
      <alignment horizontal="center" vertical="center"/>
      <protection locked="0"/>
    </xf>
    <xf numFmtId="37" fontId="14" fillId="0" borderId="0" xfId="0" applyNumberFormat="1" applyFont="1" applyAlignment="1" applyProtection="1">
      <alignment horizontal="center" vertical="center" wrapText="1"/>
      <protection locked="0"/>
    </xf>
    <xf numFmtId="37" fontId="83" fillId="0" borderId="0" xfId="0" applyNumberFormat="1" applyFont="1" applyAlignment="1" applyProtection="1">
      <alignment horizontal="center" vertical="center"/>
      <protection locked="0"/>
    </xf>
    <xf numFmtId="37" fontId="14" fillId="0" borderId="0" xfId="0" applyNumberFormat="1" applyFont="1" applyAlignment="1" applyProtection="1">
      <alignment vertical="center"/>
      <protection locked="0"/>
    </xf>
    <xf numFmtId="37" fontId="48" fillId="0" borderId="0" xfId="1" applyNumberFormat="1" applyFont="1" applyFill="1" applyAlignment="1" applyProtection="1">
      <alignment horizontal="center" vertical="center"/>
      <protection locked="0"/>
    </xf>
    <xf numFmtId="37" fontId="48" fillId="0" borderId="0" xfId="1" applyNumberFormat="1" applyFont="1" applyFill="1" applyAlignment="1" applyProtection="1">
      <alignment horizontal="right" vertical="center"/>
      <protection locked="0"/>
    </xf>
    <xf numFmtId="37" fontId="42" fillId="0" borderId="0" xfId="0" applyNumberFormat="1" applyFont="1" applyAlignment="1" applyProtection="1">
      <alignment horizontal="center" vertical="center"/>
      <protection locked="0"/>
    </xf>
    <xf numFmtId="37" fontId="37" fillId="0" borderId="0" xfId="1" applyNumberFormat="1" applyFont="1" applyFill="1" applyAlignment="1" applyProtection="1">
      <alignment horizontal="left" vertical="center"/>
      <protection locked="0"/>
    </xf>
    <xf numFmtId="37" fontId="11" fillId="0" borderId="19" xfId="0" applyNumberFormat="1" applyFont="1" applyBorder="1" applyAlignment="1" applyProtection="1">
      <alignment horizontal="center" vertical="center"/>
      <protection locked="0"/>
    </xf>
    <xf numFmtId="37" fontId="11" fillId="0" borderId="0" xfId="0" applyNumberFormat="1" applyFont="1" applyAlignment="1" applyProtection="1">
      <alignment horizontal="left" vertical="center"/>
      <protection locked="0"/>
    </xf>
    <xf numFmtId="37" fontId="14" fillId="0" borderId="0" xfId="1" quotePrefix="1" applyNumberFormat="1" applyFont="1" applyBorder="1" applyAlignment="1" applyProtection="1">
      <alignment horizontal="center" vertical="center"/>
      <protection locked="0"/>
    </xf>
    <xf numFmtId="37" fontId="14" fillId="0" borderId="0" xfId="0" applyNumberFormat="1" applyFont="1" applyAlignment="1" applyProtection="1">
      <alignment horizontal="left" vertical="center"/>
      <protection locked="0"/>
    </xf>
    <xf numFmtId="37" fontId="83" fillId="0" borderId="0" xfId="0" applyNumberFormat="1" applyFont="1" applyAlignment="1" applyProtection="1">
      <alignment vertical="center"/>
      <protection locked="0"/>
    </xf>
    <xf numFmtId="37" fontId="14" fillId="0" borderId="0" xfId="1" applyNumberFormat="1" applyFont="1" applyBorder="1" applyAlignment="1" applyProtection="1">
      <alignment horizontal="center" vertical="center"/>
      <protection locked="0"/>
    </xf>
    <xf numFmtId="37" fontId="14" fillId="0" borderId="0" xfId="1" applyNumberFormat="1" applyFont="1" applyFill="1" applyBorder="1" applyAlignment="1" applyProtection="1">
      <alignment horizontal="center" vertical="center"/>
      <protection locked="0"/>
    </xf>
    <xf numFmtId="37" fontId="11" fillId="0" borderId="3" xfId="0" applyNumberFormat="1" applyFont="1" applyBorder="1" applyAlignment="1" applyProtection="1">
      <alignment horizontal="left" vertical="center"/>
      <protection locked="0"/>
    </xf>
    <xf numFmtId="37" fontId="11" fillId="0" borderId="0" xfId="0" quotePrefix="1" applyNumberFormat="1" applyFont="1" applyAlignment="1" applyProtection="1">
      <alignment horizontal="center" vertical="center"/>
      <protection locked="0"/>
    </xf>
    <xf numFmtId="37" fontId="11" fillId="0" borderId="18" xfId="0" applyNumberFormat="1" applyFont="1" applyBorder="1" applyAlignment="1" applyProtection="1">
      <alignment horizontal="left" vertical="center"/>
      <protection locked="0"/>
    </xf>
    <xf numFmtId="37" fontId="11" fillId="0" borderId="18" xfId="0" applyNumberFormat="1" applyFont="1" applyBorder="1" applyAlignment="1" applyProtection="1">
      <alignment horizontal="center" vertical="center"/>
      <protection locked="0"/>
    </xf>
    <xf numFmtId="37" fontId="14" fillId="0" borderId="0" xfId="1" quotePrefix="1" applyNumberFormat="1" applyFont="1" applyFill="1" applyBorder="1" applyAlignment="1" applyProtection="1">
      <alignment horizontal="center" vertical="center"/>
      <protection locked="0"/>
    </xf>
    <xf numFmtId="37" fontId="77" fillId="0" borderId="0" xfId="1" applyNumberFormat="1" applyFont="1" applyFill="1" applyBorder="1" applyAlignment="1" applyProtection="1">
      <alignment horizontal="center" vertical="center"/>
      <protection locked="0"/>
    </xf>
    <xf numFmtId="37" fontId="11" fillId="0" borderId="19" xfId="0" applyNumberFormat="1" applyFont="1" applyBorder="1" applyAlignment="1" applyProtection="1">
      <alignment horizontal="left" vertical="center"/>
      <protection locked="0"/>
    </xf>
    <xf numFmtId="37" fontId="84" fillId="0" borderId="0" xfId="1" quotePrefix="1" applyNumberFormat="1" applyFont="1" applyFill="1" applyBorder="1" applyAlignment="1" applyProtection="1">
      <alignment horizontal="center" vertical="center"/>
      <protection locked="0"/>
    </xf>
    <xf numFmtId="37" fontId="85" fillId="0" borderId="0" xfId="0" applyNumberFormat="1" applyFont="1" applyAlignment="1" applyProtection="1">
      <alignment horizontal="left" vertical="center"/>
      <protection locked="0"/>
    </xf>
    <xf numFmtId="37" fontId="11" fillId="0" borderId="0" xfId="0" applyNumberFormat="1" applyFont="1" applyAlignment="1" applyProtection="1">
      <alignment horizontal="right" vertical="center"/>
      <protection locked="0"/>
    </xf>
    <xf numFmtId="37" fontId="75" fillId="0" borderId="0" xfId="0" applyNumberFormat="1" applyFont="1" applyAlignment="1" applyProtection="1">
      <alignment horizontal="left" vertical="center"/>
      <protection locked="0"/>
    </xf>
    <xf numFmtId="37" fontId="11" fillId="0" borderId="0" xfId="1" applyNumberFormat="1" applyFont="1" applyFill="1" applyBorder="1" applyAlignment="1" applyProtection="1">
      <alignment horizontal="center" vertical="center"/>
      <protection locked="0"/>
    </xf>
    <xf numFmtId="37" fontId="11" fillId="0" borderId="0" xfId="0" applyNumberFormat="1" applyFont="1" applyAlignment="1" applyProtection="1">
      <alignment vertical="center"/>
      <protection locked="0"/>
    </xf>
    <xf numFmtId="37" fontId="11" fillId="0" borderId="3" xfId="0" applyNumberFormat="1" applyFont="1" applyBorder="1" applyAlignment="1" applyProtection="1">
      <alignment vertical="center"/>
      <protection locked="0"/>
    </xf>
    <xf numFmtId="37" fontId="11" fillId="0" borderId="19" xfId="0" applyNumberFormat="1" applyFont="1" applyBorder="1" applyAlignment="1" applyProtection="1">
      <alignment vertical="center"/>
      <protection locked="0"/>
    </xf>
    <xf numFmtId="37" fontId="11" fillId="0" borderId="1" xfId="0" applyNumberFormat="1" applyFont="1" applyBorder="1" applyAlignment="1" applyProtection="1">
      <alignment vertical="center"/>
      <protection locked="0"/>
    </xf>
    <xf numFmtId="37" fontId="82" fillId="0" borderId="0" xfId="0" applyNumberFormat="1" applyFont="1" applyAlignment="1" applyProtection="1">
      <alignment vertical="center"/>
      <protection locked="0"/>
    </xf>
    <xf numFmtId="37" fontId="75" fillId="0" borderId="30" xfId="0" applyNumberFormat="1" applyFont="1" applyBorder="1" applyAlignment="1" applyProtection="1">
      <alignment horizontal="right" vertical="center"/>
      <protection locked="0"/>
    </xf>
    <xf numFmtId="37" fontId="11" fillId="0" borderId="25" xfId="0" applyNumberFormat="1" applyFont="1" applyBorder="1" applyAlignment="1" applyProtection="1">
      <alignment horizontal="center" vertical="center"/>
      <protection locked="0"/>
    </xf>
    <xf numFmtId="37" fontId="11" fillId="0" borderId="31" xfId="0" applyNumberFormat="1" applyFont="1" applyBorder="1" applyAlignment="1" applyProtection="1">
      <alignment horizontal="right" vertical="center"/>
      <protection locked="0"/>
    </xf>
    <xf numFmtId="10" fontId="11" fillId="0" borderId="0" xfId="0" applyNumberFormat="1" applyFont="1" applyAlignment="1" applyProtection="1">
      <alignment horizontal="center" vertical="center"/>
      <protection locked="0"/>
    </xf>
    <xf numFmtId="10" fontId="11" fillId="0" borderId="27" xfId="0" applyNumberFormat="1" applyFont="1" applyBorder="1" applyAlignment="1" applyProtection="1">
      <alignment horizontal="center" vertical="center" wrapText="1"/>
      <protection locked="0"/>
    </xf>
    <xf numFmtId="10" fontId="78" fillId="0" borderId="3" xfId="0" applyNumberFormat="1" applyFont="1" applyBorder="1" applyAlignment="1" applyProtection="1">
      <alignment horizontal="center" vertical="center"/>
      <protection locked="0"/>
    </xf>
    <xf numFmtId="37" fontId="14" fillId="0" borderId="33" xfId="0" applyNumberFormat="1" applyFont="1" applyBorder="1" applyAlignment="1" applyProtection="1">
      <alignment vertical="center"/>
      <protection locked="0"/>
    </xf>
    <xf numFmtId="37" fontId="14" fillId="0" borderId="4" xfId="0" applyNumberFormat="1" applyFont="1" applyBorder="1" applyAlignment="1" applyProtection="1">
      <alignment vertical="center"/>
      <protection locked="0"/>
    </xf>
    <xf numFmtId="37" fontId="83" fillId="0" borderId="28" xfId="0" applyNumberFormat="1" applyFont="1" applyBorder="1" applyAlignment="1" applyProtection="1">
      <alignment horizontal="center" vertical="center"/>
      <protection locked="0"/>
    </xf>
    <xf numFmtId="9" fontId="11" fillId="0" borderId="0" xfId="3" applyFont="1" applyFill="1" applyBorder="1" applyAlignment="1" applyProtection="1">
      <alignment horizontal="center" vertical="center"/>
      <protection locked="0"/>
    </xf>
    <xf numFmtId="5" fontId="11" fillId="0" borderId="0" xfId="0" applyNumberFormat="1" applyFont="1" applyAlignment="1" applyProtection="1">
      <alignment horizontal="center" vertical="center"/>
      <protection locked="0"/>
    </xf>
    <xf numFmtId="37" fontId="75" fillId="0" borderId="0" xfId="0" applyNumberFormat="1" applyFont="1" applyAlignment="1" applyProtection="1">
      <alignment horizontal="center" vertical="center"/>
      <protection locked="0"/>
    </xf>
    <xf numFmtId="5" fontId="11" fillId="0" borderId="19" xfId="0" applyNumberFormat="1" applyFont="1" applyBorder="1" applyAlignment="1" applyProtection="1">
      <alignment horizontal="center" vertical="center"/>
      <protection locked="0"/>
    </xf>
    <xf numFmtId="37" fontId="14" fillId="0" borderId="8" xfId="0" applyNumberFormat="1" applyFont="1" applyBorder="1" applyAlignment="1" applyProtection="1">
      <alignment horizontal="centerContinuous" vertical="center"/>
      <protection locked="0"/>
    </xf>
    <xf numFmtId="37" fontId="83" fillId="0" borderId="21" xfId="0" applyNumberFormat="1" applyFont="1" applyBorder="1" applyAlignment="1" applyProtection="1">
      <alignment horizontal="centerContinuous" vertical="center"/>
      <protection locked="0"/>
    </xf>
    <xf numFmtId="37" fontId="11" fillId="0" borderId="1" xfId="1" applyNumberFormat="1" applyFont="1" applyFill="1" applyBorder="1" applyAlignment="1" applyProtection="1">
      <alignment horizontal="center" vertical="center"/>
      <protection locked="0"/>
    </xf>
    <xf numFmtId="37" fontId="14" fillId="0" borderId="0" xfId="0" applyNumberFormat="1" applyFont="1" applyAlignment="1" applyProtection="1">
      <alignment horizontal="right" vertical="center"/>
      <protection locked="0"/>
    </xf>
    <xf numFmtId="37" fontId="75" fillId="0" borderId="0" xfId="0" applyNumberFormat="1" applyFont="1" applyAlignment="1" applyProtection="1">
      <alignment horizontal="right" vertical="center"/>
      <protection locked="0"/>
    </xf>
    <xf numFmtId="5" fontId="14" fillId="0" borderId="0" xfId="0" applyNumberFormat="1" applyFont="1" applyAlignment="1" applyProtection="1">
      <alignment horizontal="center" vertical="center"/>
      <protection locked="0"/>
    </xf>
    <xf numFmtId="37" fontId="84" fillId="0" borderId="0" xfId="0" applyNumberFormat="1" applyFont="1" applyAlignment="1" applyProtection="1">
      <alignment vertical="center"/>
      <protection locked="0"/>
    </xf>
    <xf numFmtId="37" fontId="86" fillId="0" borderId="0" xfId="0" applyNumberFormat="1" applyFont="1" applyAlignment="1" applyProtection="1">
      <alignment horizontal="center" vertical="center"/>
      <protection locked="0"/>
    </xf>
    <xf numFmtId="37" fontId="84" fillId="0" borderId="0" xfId="0" applyNumberFormat="1" applyFont="1" applyAlignment="1" applyProtection="1">
      <alignment horizontal="center" vertical="center"/>
      <protection locked="0"/>
    </xf>
    <xf numFmtId="37" fontId="87" fillId="0" borderId="0" xfId="0" applyNumberFormat="1" applyFont="1" applyAlignment="1" applyProtection="1">
      <alignment horizontal="center" vertical="center"/>
      <protection locked="0"/>
    </xf>
    <xf numFmtId="10" fontId="84" fillId="0" borderId="0" xfId="3" applyNumberFormat="1" applyFont="1" applyFill="1" applyBorder="1" applyAlignment="1" applyProtection="1">
      <alignment horizontal="center" vertical="center"/>
      <protection locked="0"/>
    </xf>
    <xf numFmtId="5" fontId="14" fillId="0" borderId="0" xfId="0" applyNumberFormat="1" applyFont="1" applyAlignment="1" applyProtection="1">
      <alignment vertical="center"/>
      <protection locked="0"/>
    </xf>
    <xf numFmtId="37" fontId="37" fillId="0" borderId="0" xfId="0" applyNumberFormat="1" applyFont="1" applyAlignment="1" applyProtection="1">
      <alignment horizontal="center" vertical="center"/>
      <protection locked="0"/>
    </xf>
    <xf numFmtId="5" fontId="14" fillId="0" borderId="0" xfId="2" applyNumberFormat="1" applyFont="1" applyFill="1" applyBorder="1" applyAlignment="1" applyProtection="1">
      <alignment horizontal="right" vertical="center"/>
      <protection locked="0"/>
    </xf>
    <xf numFmtId="5" fontId="14" fillId="0" borderId="1" xfId="0" applyNumberFormat="1" applyFont="1" applyBorder="1" applyAlignment="1" applyProtection="1">
      <alignment vertical="center"/>
      <protection locked="0"/>
    </xf>
    <xf numFmtId="183" fontId="14" fillId="0" borderId="0" xfId="0" applyNumberFormat="1" applyFont="1" applyAlignment="1" applyProtection="1">
      <alignment horizontal="left" vertical="center"/>
      <protection locked="0"/>
    </xf>
    <xf numFmtId="37" fontId="88" fillId="0" borderId="0" xfId="0" applyNumberFormat="1" applyFont="1" applyAlignment="1" applyProtection="1">
      <alignment vertical="center"/>
      <protection locked="0"/>
    </xf>
    <xf numFmtId="179" fontId="83" fillId="0" borderId="0" xfId="1" applyNumberFormat="1" applyFont="1" applyBorder="1" applyAlignment="1" applyProtection="1">
      <alignment horizontal="right" vertical="center"/>
      <protection locked="0"/>
    </xf>
    <xf numFmtId="37" fontId="84" fillId="0" borderId="0" xfId="0" applyNumberFormat="1" applyFont="1" applyAlignment="1" applyProtection="1">
      <alignment horizontal="right" vertical="center"/>
      <protection locked="0"/>
    </xf>
    <xf numFmtId="5" fontId="37" fillId="0" borderId="19" xfId="2" applyNumberFormat="1" applyFont="1" applyFill="1" applyBorder="1" applyAlignment="1" applyProtection="1">
      <alignment horizontal="right" vertical="center"/>
      <protection locked="0"/>
    </xf>
    <xf numFmtId="37" fontId="84" fillId="0" borderId="0" xfId="0" quotePrefix="1" applyNumberFormat="1" applyFont="1" applyAlignment="1" applyProtection="1">
      <alignment horizontal="right" vertical="center"/>
      <protection locked="0"/>
    </xf>
    <xf numFmtId="37" fontId="14" fillId="0" borderId="0" xfId="0" quotePrefix="1" applyNumberFormat="1" applyFont="1" applyAlignment="1" applyProtection="1">
      <alignment horizontal="right" vertical="center"/>
      <protection locked="0"/>
    </xf>
    <xf numFmtId="184" fontId="14" fillId="0" borderId="0" xfId="3" applyNumberFormat="1" applyFont="1" applyFill="1" applyBorder="1" applyAlignment="1" applyProtection="1">
      <alignment horizontal="right" vertical="center"/>
      <protection locked="0"/>
    </xf>
    <xf numFmtId="37" fontId="14" fillId="3" borderId="21" xfId="0" applyNumberFormat="1" applyFont="1" applyFill="1" applyBorder="1" applyAlignment="1" applyProtection="1">
      <alignment vertical="center"/>
      <protection locked="0"/>
    </xf>
    <xf numFmtId="37" fontId="14" fillId="3" borderId="27" xfId="0" applyNumberFormat="1" applyFont="1" applyFill="1" applyBorder="1" applyAlignment="1" applyProtection="1">
      <alignment vertical="center"/>
      <protection locked="0"/>
    </xf>
    <xf numFmtId="37" fontId="82" fillId="0" borderId="0" xfId="0" quotePrefix="1" applyNumberFormat="1" applyFont="1" applyAlignment="1" applyProtection="1">
      <alignment horizontal="left" vertical="center"/>
      <protection locked="0"/>
    </xf>
    <xf numFmtId="37" fontId="83" fillId="0" borderId="0" xfId="0" applyNumberFormat="1" applyFont="1" applyAlignment="1" applyProtection="1">
      <alignment horizontal="right" vertical="center"/>
      <protection locked="0"/>
    </xf>
    <xf numFmtId="37" fontId="14" fillId="0" borderId="0" xfId="1" applyNumberFormat="1" applyFont="1" applyAlignment="1" applyProtection="1">
      <alignment horizontal="right" vertical="center"/>
      <protection locked="0"/>
    </xf>
    <xf numFmtId="37" fontId="14" fillId="0" borderId="0" xfId="0" applyNumberFormat="1" applyFont="1" applyAlignment="1" applyProtection="1">
      <alignment horizontal="center" vertical="center"/>
      <protection locked="0" hidden="1"/>
    </xf>
    <xf numFmtId="37" fontId="48" fillId="0" borderId="0" xfId="2" applyNumberFormat="1" applyFont="1" applyFill="1" applyBorder="1" applyAlignment="1" applyProtection="1">
      <alignment horizontal="center" vertical="center"/>
      <protection locked="0" hidden="1"/>
    </xf>
    <xf numFmtId="37" fontId="11" fillId="0" borderId="25" xfId="0" applyNumberFormat="1" applyFont="1" applyBorder="1" applyAlignment="1" applyProtection="1">
      <alignment horizontal="center" vertical="center"/>
      <protection locked="0" hidden="1"/>
    </xf>
    <xf numFmtId="10" fontId="11" fillId="0" borderId="0" xfId="0" applyNumberFormat="1" applyFont="1" applyAlignment="1" applyProtection="1">
      <alignment horizontal="center" vertical="center"/>
      <protection locked="0" hidden="1"/>
    </xf>
    <xf numFmtId="10" fontId="11" fillId="0" borderId="3" xfId="0" applyNumberFormat="1" applyFont="1" applyBorder="1" applyAlignment="1" applyProtection="1">
      <alignment horizontal="center" vertical="center"/>
      <protection locked="0" hidden="1"/>
    </xf>
    <xf numFmtId="37" fontId="14" fillId="0" borderId="4" xfId="0" applyNumberFormat="1" applyFont="1" applyBorder="1" applyAlignment="1" applyProtection="1">
      <alignment vertical="center"/>
      <protection locked="0" hidden="1"/>
    </xf>
    <xf numFmtId="37" fontId="11" fillId="0" borderId="0" xfId="0" applyNumberFormat="1" applyFont="1" applyAlignment="1" applyProtection="1">
      <alignment horizontal="left" vertical="center"/>
      <protection locked="0" hidden="1"/>
    </xf>
    <xf numFmtId="37" fontId="75" fillId="0" borderId="0" xfId="0" applyNumberFormat="1" applyFont="1" applyAlignment="1" applyProtection="1">
      <alignment horizontal="center" vertical="center"/>
      <protection locked="0" hidden="1"/>
    </xf>
    <xf numFmtId="5" fontId="11" fillId="0" borderId="0" xfId="0" applyNumberFormat="1" applyFont="1" applyAlignment="1" applyProtection="1">
      <alignment horizontal="center" vertical="center"/>
      <protection locked="0" hidden="1"/>
    </xf>
    <xf numFmtId="5" fontId="11" fillId="0" borderId="19" xfId="0" applyNumberFormat="1" applyFont="1" applyBorder="1" applyAlignment="1" applyProtection="1">
      <alignment horizontal="center" vertical="center"/>
      <protection locked="0" hidden="1"/>
    </xf>
    <xf numFmtId="37" fontId="77" fillId="0" borderId="0" xfId="0" applyNumberFormat="1" applyFont="1" applyAlignment="1" applyProtection="1">
      <alignment horizontal="center" vertical="center"/>
      <protection locked="0" hidden="1"/>
    </xf>
    <xf numFmtId="37" fontId="78" fillId="0" borderId="0" xfId="0" applyNumberFormat="1" applyFont="1" applyAlignment="1" applyProtection="1">
      <alignment horizontal="left" vertical="center"/>
      <protection locked="0" hidden="1"/>
    </xf>
    <xf numFmtId="37" fontId="75" fillId="0" borderId="20" xfId="0" applyNumberFormat="1" applyFont="1" applyBorder="1" applyAlignment="1" applyProtection="1">
      <alignment horizontal="centerContinuous" vertical="center"/>
      <protection locked="0" hidden="1"/>
    </xf>
    <xf numFmtId="37" fontId="11" fillId="0" borderId="1" xfId="1" applyNumberFormat="1" applyFont="1" applyFill="1" applyBorder="1" applyAlignment="1" applyProtection="1">
      <alignment horizontal="center" vertical="center"/>
      <protection locked="0" hidden="1"/>
    </xf>
    <xf numFmtId="37" fontId="75" fillId="0" borderId="0" xfId="1" applyNumberFormat="1" applyFont="1" applyBorder="1" applyAlignment="1" applyProtection="1">
      <alignment horizontal="left" vertical="center"/>
      <protection locked="0" hidden="1"/>
    </xf>
    <xf numFmtId="37" fontId="14" fillId="0" borderId="0" xfId="0" applyNumberFormat="1" applyFont="1" applyAlignment="1" applyProtection="1">
      <alignment horizontal="right" vertical="center"/>
      <protection locked="0" hidden="1"/>
    </xf>
    <xf numFmtId="37" fontId="14" fillId="0" borderId="0" xfId="0" quotePrefix="1" applyNumberFormat="1" applyFont="1" applyAlignment="1" applyProtection="1">
      <alignment horizontal="right" vertical="center"/>
      <protection locked="0" hidden="1"/>
    </xf>
    <xf numFmtId="37" fontId="37" fillId="0" borderId="0" xfId="0" applyNumberFormat="1" applyFont="1" applyAlignment="1" applyProtection="1">
      <alignment horizontal="center" vertical="center"/>
      <protection locked="0" hidden="1"/>
    </xf>
    <xf numFmtId="37" fontId="82" fillId="0" borderId="0" xfId="0" applyNumberFormat="1" applyFont="1" applyAlignment="1" applyProtection="1">
      <alignment vertical="center"/>
      <protection locked="0" hidden="1"/>
    </xf>
    <xf numFmtId="37" fontId="83" fillId="0" borderId="0" xfId="1" applyNumberFormat="1" applyFont="1" applyFill="1" applyBorder="1" applyAlignment="1" applyProtection="1">
      <alignment horizontal="center" vertical="center"/>
      <protection locked="0" hidden="1"/>
    </xf>
    <xf numFmtId="5" fontId="14" fillId="0" borderId="20" xfId="0" applyNumberFormat="1" applyFont="1" applyBorder="1" applyAlignment="1" applyProtection="1">
      <alignment horizontal="center" vertical="center"/>
      <protection locked="0" hidden="1"/>
    </xf>
    <xf numFmtId="5" fontId="14" fillId="0" borderId="31" xfId="0" applyNumberFormat="1" applyFont="1" applyBorder="1" applyAlignment="1" applyProtection="1">
      <alignment horizontal="center" vertical="center"/>
      <protection locked="0" hidden="1"/>
    </xf>
    <xf numFmtId="37" fontId="84" fillId="0" borderId="20" xfId="0" quotePrefix="1" applyNumberFormat="1" applyFont="1" applyBorder="1" applyAlignment="1" applyProtection="1">
      <alignment horizontal="right" vertical="center"/>
      <protection locked="0" hidden="1"/>
    </xf>
    <xf numFmtId="37" fontId="14" fillId="0" borderId="0" xfId="1" applyNumberFormat="1" applyFont="1" applyFill="1" applyBorder="1" applyAlignment="1" applyProtection="1">
      <alignment horizontal="center" vertical="center"/>
      <protection locked="0" hidden="1"/>
    </xf>
    <xf numFmtId="37" fontId="11" fillId="0" borderId="0" xfId="1" applyNumberFormat="1" applyFont="1" applyFill="1" applyBorder="1" applyAlignment="1" applyProtection="1">
      <alignment horizontal="center" vertical="center"/>
      <protection locked="0" hidden="1"/>
    </xf>
    <xf numFmtId="37" fontId="37" fillId="0" borderId="0" xfId="2" applyNumberFormat="1" applyFont="1" applyFill="1" applyBorder="1" applyAlignment="1" applyProtection="1">
      <alignment horizontal="center" vertical="center"/>
      <protection locked="0" hidden="1"/>
    </xf>
    <xf numFmtId="0" fontId="14" fillId="0" borderId="0" xfId="610"/>
    <xf numFmtId="37" fontId="11" fillId="0" borderId="3" xfId="0" applyNumberFormat="1" applyFont="1" applyBorder="1" applyAlignment="1" applyProtection="1">
      <alignment horizontal="center" vertical="center"/>
      <protection locked="0" hidden="1"/>
    </xf>
    <xf numFmtId="37" fontId="82" fillId="0" borderId="0" xfId="0" applyNumberFormat="1" applyFont="1" applyAlignment="1">
      <alignment horizontal="center" vertical="center"/>
    </xf>
    <xf numFmtId="37" fontId="48" fillId="0" borderId="19" xfId="0" applyNumberFormat="1" applyFont="1" applyBorder="1" applyAlignment="1" applyProtection="1">
      <alignment horizontal="center" vertical="center" wrapText="1"/>
      <protection locked="0"/>
    </xf>
    <xf numFmtId="37" fontId="81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37" fontId="12" fillId="0" borderId="0" xfId="0" applyNumberFormat="1" applyFont="1" applyAlignment="1">
      <alignment vertical="center"/>
    </xf>
    <xf numFmtId="37" fontId="12" fillId="0" borderId="3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40" fontId="14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0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40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0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40" fontId="11" fillId="2" borderId="0" xfId="0" applyNumberFormat="1" applyFont="1" applyFill="1" applyAlignment="1">
      <alignment horizontal="centerContinuous" vertical="center"/>
    </xf>
    <xf numFmtId="40" fontId="14" fillId="2" borderId="0" xfId="0" applyNumberFormat="1" applyFont="1" applyFill="1" applyAlignment="1">
      <alignment horizontal="centerContinuous" vertical="center"/>
    </xf>
    <xf numFmtId="37" fontId="48" fillId="0" borderId="0" xfId="1117" applyNumberFormat="1" applyFont="1" applyFill="1" applyAlignment="1" applyProtection="1">
      <alignment horizontal="right" vertical="center"/>
    </xf>
    <xf numFmtId="37" fontId="48" fillId="0" borderId="0" xfId="1117" applyNumberFormat="1" applyFont="1" applyFill="1" applyAlignment="1" applyProtection="1">
      <alignment vertical="center"/>
    </xf>
    <xf numFmtId="37" fontId="77" fillId="0" borderId="0" xfId="1117" applyNumberFormat="1" applyFont="1" applyFill="1" applyAlignment="1" applyProtection="1">
      <alignment horizontal="center" vertical="center"/>
    </xf>
    <xf numFmtId="37" fontId="14" fillId="0" borderId="0" xfId="1117" applyNumberFormat="1" applyFont="1" applyFill="1" applyBorder="1" applyAlignment="1" applyProtection="1">
      <alignment horizontal="center" vertical="center"/>
    </xf>
    <xf numFmtId="37" fontId="11" fillId="34" borderId="19" xfId="1117" applyNumberFormat="1" applyFont="1" applyFill="1" applyBorder="1" applyAlignment="1" applyProtection="1">
      <alignment horizontal="center" vertical="center" wrapText="1"/>
    </xf>
    <xf numFmtId="37" fontId="11" fillId="3" borderId="19" xfId="1117" applyNumberFormat="1" applyFont="1" applyFill="1" applyBorder="1" applyAlignment="1" applyProtection="1">
      <alignment horizontal="center" vertical="center" wrapText="1"/>
    </xf>
    <xf numFmtId="37" fontId="11" fillId="0" borderId="0" xfId="0" applyNumberFormat="1" applyFont="1" applyAlignment="1">
      <alignment horizontal="center" vertical="center" wrapText="1"/>
    </xf>
    <xf numFmtId="37" fontId="78" fillId="34" borderId="0" xfId="1117" applyNumberFormat="1" applyFont="1" applyFill="1" applyBorder="1" applyAlignment="1" applyProtection="1">
      <alignment horizontal="center" vertical="center" wrapText="1"/>
    </xf>
    <xf numFmtId="37" fontId="78" fillId="0" borderId="0" xfId="1117" applyNumberFormat="1" applyFont="1" applyFill="1" applyBorder="1" applyAlignment="1" applyProtection="1">
      <alignment horizontal="center" vertical="center" wrapText="1"/>
    </xf>
    <xf numFmtId="37" fontId="78" fillId="3" borderId="0" xfId="1117" applyNumberFormat="1" applyFont="1" applyFill="1" applyBorder="1" applyAlignment="1" applyProtection="1">
      <alignment horizontal="center" vertical="center" wrapText="1"/>
    </xf>
    <xf numFmtId="37" fontId="14" fillId="0" borderId="0" xfId="1117" quotePrefix="1" applyNumberFormat="1" applyFont="1" applyBorder="1" applyAlignment="1" applyProtection="1">
      <alignment horizontal="center" vertical="center"/>
    </xf>
    <xf numFmtId="37" fontId="75" fillId="0" borderId="0" xfId="0" applyNumberFormat="1" applyFont="1" applyAlignment="1">
      <alignment vertical="center"/>
    </xf>
    <xf numFmtId="37" fontId="83" fillId="34" borderId="0" xfId="1117" applyNumberFormat="1" applyFont="1" applyFill="1" applyBorder="1" applyAlignment="1" applyProtection="1">
      <alignment horizontal="center" vertical="center"/>
    </xf>
    <xf numFmtId="37" fontId="83" fillId="3" borderId="0" xfId="0" applyNumberFormat="1" applyFont="1" applyFill="1" applyAlignment="1">
      <alignment horizontal="center" vertical="center" wrapText="1"/>
    </xf>
    <xf numFmtId="37" fontId="14" fillId="34" borderId="0" xfId="1117" applyNumberFormat="1" applyFont="1" applyFill="1" applyBorder="1" applyAlignment="1" applyProtection="1">
      <alignment horizontal="center" vertical="center"/>
    </xf>
    <xf numFmtId="37" fontId="11" fillId="34" borderId="3" xfId="1117" applyNumberFormat="1" applyFont="1" applyFill="1" applyBorder="1" applyAlignment="1" applyProtection="1">
      <alignment horizontal="center" vertical="center"/>
    </xf>
    <xf numFmtId="37" fontId="11" fillId="0" borderId="3" xfId="1117" applyNumberFormat="1" applyFont="1" applyFill="1" applyBorder="1" applyAlignment="1" applyProtection="1">
      <alignment horizontal="center" vertical="center"/>
    </xf>
    <xf numFmtId="37" fontId="11" fillId="3" borderId="3" xfId="1117" applyNumberFormat="1" applyFont="1" applyFill="1" applyBorder="1" applyAlignment="1" applyProtection="1">
      <alignment horizontal="center" vertical="center"/>
    </xf>
    <xf numFmtId="37" fontId="83" fillId="0" borderId="0" xfId="1117" applyNumberFormat="1" applyFont="1" applyFill="1" applyBorder="1" applyAlignment="1" applyProtection="1">
      <alignment horizontal="center" vertical="center"/>
    </xf>
    <xf numFmtId="37" fontId="11" fillId="34" borderId="18" xfId="1117" applyNumberFormat="1" applyFont="1" applyFill="1" applyBorder="1" applyAlignment="1" applyProtection="1">
      <alignment horizontal="center" vertical="center"/>
    </xf>
    <xf numFmtId="37" fontId="11" fillId="0" borderId="18" xfId="1117" applyNumberFormat="1" applyFont="1" applyFill="1" applyBorder="1" applyAlignment="1" applyProtection="1">
      <alignment horizontal="center" vertical="center"/>
    </xf>
    <xf numFmtId="37" fontId="11" fillId="3" borderId="18" xfId="1117" applyNumberFormat="1" applyFont="1" applyFill="1" applyBorder="1" applyAlignment="1" applyProtection="1">
      <alignment horizontal="center" vertical="center"/>
    </xf>
    <xf numFmtId="37" fontId="11" fillId="0" borderId="0" xfId="1117" quotePrefix="1" applyNumberFormat="1" applyFont="1" applyBorder="1" applyAlignment="1" applyProtection="1">
      <alignment horizontal="center" vertical="center"/>
    </xf>
    <xf numFmtId="37" fontId="83" fillId="34" borderId="0" xfId="1117" applyNumberFormat="1" applyFont="1" applyFill="1" applyBorder="1" applyAlignment="1" applyProtection="1">
      <alignment horizontal="center" vertical="center"/>
      <protection locked="0"/>
    </xf>
    <xf numFmtId="37" fontId="83" fillId="0" borderId="0" xfId="1117" applyNumberFormat="1" applyFont="1" applyFill="1" applyBorder="1" applyAlignment="1" applyProtection="1">
      <alignment horizontal="center" vertical="center"/>
      <protection locked="0"/>
    </xf>
    <xf numFmtId="37" fontId="83" fillId="3" borderId="0" xfId="1117" applyNumberFormat="1" applyFont="1" applyFill="1" applyBorder="1" applyAlignment="1" applyProtection="1">
      <alignment horizontal="center" vertical="center"/>
      <protection locked="0"/>
    </xf>
    <xf numFmtId="37" fontId="14" fillId="0" borderId="0" xfId="1117" quotePrefix="1" applyNumberFormat="1" applyFont="1" applyFill="1" applyBorder="1" applyAlignment="1" applyProtection="1">
      <alignment horizontal="center" vertical="center"/>
    </xf>
    <xf numFmtId="37" fontId="14" fillId="0" borderId="0" xfId="1117" applyNumberFormat="1" applyFont="1" applyBorder="1" applyAlignment="1" applyProtection="1">
      <alignment horizontal="center" vertical="center"/>
    </xf>
    <xf numFmtId="37" fontId="48" fillId="0" borderId="3" xfId="0" applyNumberFormat="1" applyFont="1" applyBorder="1" applyAlignment="1">
      <alignment horizontal="center" vertical="center" wrapText="1"/>
    </xf>
    <xf numFmtId="37" fontId="11" fillId="34" borderId="0" xfId="1117" applyNumberFormat="1" applyFont="1" applyFill="1" applyBorder="1" applyAlignment="1" applyProtection="1">
      <alignment horizontal="center" vertical="center"/>
    </xf>
    <xf numFmtId="37" fontId="11" fillId="0" borderId="0" xfId="1117" applyNumberFormat="1" applyFont="1" applyFill="1" applyBorder="1" applyAlignment="1" applyProtection="1">
      <alignment horizontal="center" vertical="center"/>
    </xf>
    <xf numFmtId="37" fontId="11" fillId="3" borderId="0" xfId="1117" applyNumberFormat="1" applyFont="1" applyFill="1" applyBorder="1" applyAlignment="1" applyProtection="1">
      <alignment horizontal="center" vertical="center"/>
    </xf>
    <xf numFmtId="37" fontId="11" fillId="0" borderId="3" xfId="1117" applyNumberFormat="1" applyFont="1" applyFill="1" applyBorder="1" applyAlignment="1" applyProtection="1">
      <alignment horizontal="left" vertical="center"/>
    </xf>
    <xf numFmtId="37" fontId="14" fillId="0" borderId="18" xfId="1117" applyNumberFormat="1" applyFont="1" applyFill="1" applyBorder="1" applyAlignment="1" applyProtection="1">
      <alignment horizontal="left" vertical="center"/>
    </xf>
    <xf numFmtId="37" fontId="11" fillId="34" borderId="19" xfId="1117" applyNumberFormat="1" applyFont="1" applyFill="1" applyBorder="1" applyAlignment="1" applyProtection="1">
      <alignment horizontal="center" vertical="center"/>
    </xf>
    <xf numFmtId="37" fontId="11" fillId="0" borderId="19" xfId="1117" applyNumberFormat="1" applyFont="1" applyFill="1" applyBorder="1" applyAlignment="1" applyProtection="1">
      <alignment horizontal="center" vertical="center"/>
    </xf>
    <xf numFmtId="37" fontId="11" fillId="3" borderId="19" xfId="1117" applyNumberFormat="1" applyFont="1" applyFill="1" applyBorder="1" applyAlignment="1" applyProtection="1">
      <alignment horizontal="center" vertical="center"/>
    </xf>
    <xf numFmtId="37" fontId="14" fillId="3" borderId="0" xfId="1117" applyNumberFormat="1" applyFont="1" applyFill="1" applyBorder="1" applyAlignment="1" applyProtection="1">
      <alignment horizontal="center" vertical="center"/>
    </xf>
    <xf numFmtId="37" fontId="75" fillId="0" borderId="0" xfId="0" applyNumberFormat="1" applyFont="1" applyAlignment="1">
      <alignment horizontal="left" vertical="center"/>
    </xf>
    <xf numFmtId="37" fontId="82" fillId="34" borderId="0" xfId="1117" applyNumberFormat="1" applyFont="1" applyFill="1" applyBorder="1" applyAlignment="1" applyProtection="1">
      <alignment horizontal="center" vertical="center"/>
    </xf>
    <xf numFmtId="37" fontId="82" fillId="0" borderId="0" xfId="1117" applyNumberFormat="1" applyFont="1" applyFill="1" applyBorder="1" applyAlignment="1" applyProtection="1">
      <alignment horizontal="center" vertical="center"/>
    </xf>
    <xf numFmtId="37" fontId="82" fillId="3" borderId="0" xfId="0" applyNumberFormat="1" applyFont="1" applyFill="1" applyAlignment="1">
      <alignment horizontal="center" vertical="center" wrapText="1"/>
    </xf>
    <xf numFmtId="37" fontId="83" fillId="0" borderId="0" xfId="1117" quotePrefix="1" applyNumberFormat="1" applyFont="1" applyFill="1" applyBorder="1" applyAlignment="1" applyProtection="1">
      <alignment horizontal="center" vertical="center"/>
    </xf>
    <xf numFmtId="37" fontId="78" fillId="34" borderId="0" xfId="1117" applyNumberFormat="1" applyFont="1" applyFill="1" applyBorder="1" applyAlignment="1" applyProtection="1">
      <alignment horizontal="center" vertical="center"/>
    </xf>
    <xf numFmtId="37" fontId="83" fillId="34" borderId="0" xfId="1117" applyNumberFormat="1" applyFont="1" applyFill="1" applyBorder="1" applyAlignment="1">
      <alignment horizontal="center" vertical="center"/>
    </xf>
    <xf numFmtId="37" fontId="48" fillId="0" borderId="20" xfId="0" applyNumberFormat="1" applyFont="1" applyBorder="1" applyAlignment="1">
      <alignment horizontal="centerContinuous" vertical="center"/>
    </xf>
    <xf numFmtId="37" fontId="37" fillId="0" borderId="8" xfId="0" applyNumberFormat="1" applyFont="1" applyBorder="1" applyAlignment="1">
      <alignment horizontal="centerContinuous" vertical="center" wrapText="1"/>
    </xf>
    <xf numFmtId="37" fontId="37" fillId="0" borderId="21" xfId="0" applyNumberFormat="1" applyFont="1" applyBorder="1" applyAlignment="1">
      <alignment horizontal="centerContinuous" vertical="center" wrapText="1"/>
    </xf>
    <xf numFmtId="37" fontId="75" fillId="0" borderId="0" xfId="0" applyNumberFormat="1" applyFont="1" applyAlignment="1">
      <alignment horizontal="right" vertical="center"/>
    </xf>
    <xf numFmtId="37" fontId="11" fillId="0" borderId="1" xfId="0" applyNumberFormat="1" applyFont="1" applyBorder="1" applyAlignment="1">
      <alignment horizontal="center" vertical="center"/>
    </xf>
    <xf numFmtId="37" fontId="83" fillId="0" borderId="0" xfId="1117" applyNumberFormat="1" applyFont="1" applyFill="1" applyBorder="1" applyAlignment="1">
      <alignment horizontal="center" vertical="center"/>
    </xf>
    <xf numFmtId="14" fontId="77" fillId="0" borderId="0" xfId="0" applyNumberFormat="1" applyFont="1" applyAlignment="1">
      <alignment horizontal="center" vertical="center"/>
    </xf>
    <xf numFmtId="37" fontId="11" fillId="36" borderId="19" xfId="0" applyNumberFormat="1" applyFont="1" applyFill="1" applyBorder="1" applyAlignment="1">
      <alignment horizontal="center" vertical="center"/>
    </xf>
    <xf numFmtId="37" fontId="11" fillId="2" borderId="19" xfId="0" applyNumberFormat="1" applyFont="1" applyFill="1" applyBorder="1" applyAlignment="1">
      <alignment horizontal="center" vertical="center"/>
    </xf>
    <xf numFmtId="37" fontId="11" fillId="0" borderId="0" xfId="0" applyNumberFormat="1" applyFont="1" applyAlignment="1">
      <alignment horizontal="right" vertical="center"/>
    </xf>
    <xf numFmtId="10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37" fontId="37" fillId="0" borderId="0" xfId="0" applyNumberFormat="1" applyFont="1" applyAlignment="1">
      <alignment vertical="center" wrapText="1"/>
    </xf>
    <xf numFmtId="37" fontId="48" fillId="0" borderId="0" xfId="0" applyNumberFormat="1" applyFont="1" applyAlignment="1">
      <alignment vertical="center"/>
    </xf>
    <xf numFmtId="5" fontId="14" fillId="0" borderId="0" xfId="1" applyNumberFormat="1" applyFont="1" applyFill="1" applyBorder="1" applyAlignment="1" applyProtection="1">
      <alignment horizontal="right" vertical="center"/>
    </xf>
    <xf numFmtId="5" fontId="14" fillId="0" borderId="3" xfId="1" applyNumberFormat="1" applyFont="1" applyFill="1" applyBorder="1" applyAlignment="1" applyProtection="1">
      <alignment horizontal="right" vertical="center"/>
    </xf>
    <xf numFmtId="5" fontId="14" fillId="0" borderId="1" xfId="1" applyNumberFormat="1" applyFont="1" applyFill="1" applyBorder="1" applyAlignment="1" applyProtection="1">
      <alignment horizontal="right" vertical="center"/>
    </xf>
    <xf numFmtId="5" fontId="14" fillId="0" borderId="19" xfId="1" applyNumberFormat="1" applyFont="1" applyFill="1" applyBorder="1" applyAlignment="1" applyProtection="1">
      <alignment horizontal="right" vertical="center"/>
    </xf>
    <xf numFmtId="37" fontId="14" fillId="0" borderId="0" xfId="1" applyNumberFormat="1" applyFont="1" applyFill="1" applyBorder="1" applyAlignment="1" applyProtection="1">
      <alignment horizontal="right" vertical="center"/>
    </xf>
    <xf numFmtId="37" fontId="14" fillId="0" borderId="0" xfId="1" applyNumberFormat="1" applyFont="1" applyFill="1" applyBorder="1" applyAlignment="1" applyProtection="1">
      <alignment horizontal="center" vertical="center"/>
    </xf>
    <xf numFmtId="37" fontId="0" fillId="0" borderId="0" xfId="0" applyNumberFormat="1"/>
    <xf numFmtId="37" fontId="48" fillId="0" borderId="1" xfId="0" applyNumberFormat="1" applyFont="1" applyBorder="1" applyAlignment="1">
      <alignment vertical="center"/>
    </xf>
    <xf numFmtId="37" fontId="37" fillId="0" borderId="1" xfId="0" applyNumberFormat="1" applyFont="1" applyBorder="1" applyAlignment="1">
      <alignment vertical="center" wrapText="1"/>
    </xf>
    <xf numFmtId="37" fontId="37" fillId="0" borderId="3" xfId="0" applyNumberFormat="1" applyFont="1" applyBorder="1" applyAlignment="1">
      <alignment vertical="center" wrapText="1"/>
    </xf>
    <xf numFmtId="37" fontId="14" fillId="37" borderId="0" xfId="0" applyNumberFormat="1" applyFont="1" applyFill="1" applyAlignment="1">
      <alignment vertical="center"/>
    </xf>
    <xf numFmtId="37" fontId="83" fillId="37" borderId="0" xfId="0" applyNumberFormat="1" applyFont="1" applyFill="1" applyAlignment="1">
      <alignment vertical="center"/>
    </xf>
    <xf numFmtId="37" fontId="11" fillId="0" borderId="0" xfId="1117" quotePrefix="1" applyNumberFormat="1" applyFont="1" applyFill="1" applyBorder="1" applyAlignment="1" applyProtection="1">
      <alignment horizontal="center" vertical="center"/>
    </xf>
    <xf numFmtId="0" fontId="14" fillId="38" borderId="0" xfId="481" applyFill="1"/>
    <xf numFmtId="0" fontId="14" fillId="0" borderId="0" xfId="481"/>
    <xf numFmtId="37" fontId="80" fillId="0" borderId="0" xfId="481" applyNumberFormat="1" applyFont="1" applyAlignment="1">
      <alignment horizontal="center" vertical="center"/>
    </xf>
    <xf numFmtId="37" fontId="14" fillId="0" borderId="0" xfId="481" applyNumberFormat="1" applyAlignment="1">
      <alignment vertical="center"/>
    </xf>
    <xf numFmtId="37" fontId="14" fillId="0" borderId="0" xfId="481" applyNumberFormat="1" applyAlignment="1">
      <alignment horizontal="center" vertical="center"/>
    </xf>
    <xf numFmtId="37" fontId="11" fillId="33" borderId="20" xfId="481" applyNumberFormat="1" applyFont="1" applyFill="1" applyBorder="1" applyAlignment="1">
      <alignment horizontal="centerContinuous" vertical="center"/>
    </xf>
    <xf numFmtId="37" fontId="11" fillId="33" borderId="8" xfId="481" applyNumberFormat="1" applyFont="1" applyFill="1" applyBorder="1" applyAlignment="1">
      <alignment horizontal="centerContinuous" vertical="center"/>
    </xf>
    <xf numFmtId="5" fontId="11" fillId="33" borderId="21" xfId="481" applyNumberFormat="1" applyFont="1" applyFill="1" applyBorder="1" applyAlignment="1">
      <alignment horizontal="center" vertical="center"/>
    </xf>
    <xf numFmtId="17" fontId="14" fillId="0" borderId="0" xfId="481" applyNumberFormat="1" applyAlignment="1">
      <alignment horizontal="center" vertical="center" wrapText="1"/>
    </xf>
    <xf numFmtId="37" fontId="11" fillId="0" borderId="0" xfId="481" applyNumberFormat="1" applyFont="1" applyAlignment="1">
      <alignment horizontal="center" vertical="center"/>
    </xf>
    <xf numFmtId="17" fontId="42" fillId="0" borderId="0" xfId="481" applyNumberFormat="1" applyFont="1" applyAlignment="1">
      <alignment vertical="center"/>
    </xf>
    <xf numFmtId="37" fontId="81" fillId="0" borderId="0" xfId="481" applyNumberFormat="1" applyFont="1" applyAlignment="1">
      <alignment horizontal="center" vertical="center"/>
    </xf>
    <xf numFmtId="37" fontId="77" fillId="0" borderId="0" xfId="481" applyNumberFormat="1" applyFont="1" applyAlignment="1">
      <alignment horizontal="center" vertical="center"/>
    </xf>
    <xf numFmtId="37" fontId="42" fillId="0" borderId="0" xfId="481" applyNumberFormat="1" applyFont="1" applyAlignment="1">
      <alignment horizontal="center" vertical="center"/>
    </xf>
    <xf numFmtId="37" fontId="74" fillId="0" borderId="0" xfId="481" applyNumberFormat="1" applyFont="1" applyAlignment="1">
      <alignment horizontal="center" vertical="center"/>
    </xf>
    <xf numFmtId="37" fontId="48" fillId="0" borderId="0" xfId="481" applyNumberFormat="1" applyFont="1" applyAlignment="1">
      <alignment horizontal="center" vertical="center"/>
    </xf>
    <xf numFmtId="37" fontId="14" fillId="0" borderId="0" xfId="1322" applyNumberFormat="1" applyFont="1" applyFill="1" applyBorder="1" applyAlignment="1" applyProtection="1">
      <alignment horizontal="center" vertical="center"/>
    </xf>
    <xf numFmtId="37" fontId="11" fillId="0" borderId="0" xfId="481" applyNumberFormat="1" applyFont="1" applyAlignment="1">
      <alignment horizontal="left" vertical="center"/>
    </xf>
    <xf numFmtId="37" fontId="11" fillId="0" borderId="0" xfId="481" applyNumberFormat="1" applyFont="1" applyAlignment="1">
      <alignment horizontal="centerContinuous" vertical="center"/>
    </xf>
    <xf numFmtId="5" fontId="11" fillId="0" borderId="0" xfId="481" applyNumberFormat="1" applyFont="1" applyAlignment="1">
      <alignment horizontal="center" vertical="center" wrapText="1"/>
    </xf>
    <xf numFmtId="37" fontId="11" fillId="0" borderId="19" xfId="481" applyNumberFormat="1" applyFont="1" applyBorder="1" applyAlignment="1">
      <alignment horizontal="center" vertical="center"/>
    </xf>
    <xf numFmtId="37" fontId="11" fillId="0" borderId="19" xfId="481" applyNumberFormat="1" applyFont="1" applyBorder="1" applyAlignment="1">
      <alignment horizontal="center" vertical="center" wrapText="1"/>
    </xf>
    <xf numFmtId="37" fontId="11" fillId="3" borderId="19" xfId="1322" applyNumberFormat="1" applyFont="1" applyFill="1" applyBorder="1" applyAlignment="1" applyProtection="1">
      <alignment horizontal="center" vertical="center" wrapText="1"/>
    </xf>
    <xf numFmtId="37" fontId="48" fillId="0" borderId="19" xfId="481" applyNumberFormat="1" applyFont="1" applyBorder="1" applyAlignment="1">
      <alignment horizontal="center" vertical="center" wrapText="1"/>
    </xf>
    <xf numFmtId="37" fontId="78" fillId="0" borderId="0" xfId="481" applyNumberFormat="1" applyFont="1" applyAlignment="1">
      <alignment horizontal="center" vertical="center" wrapText="1"/>
    </xf>
    <xf numFmtId="37" fontId="78" fillId="0" borderId="0" xfId="1322" applyNumberFormat="1" applyFont="1" applyFill="1" applyBorder="1" applyAlignment="1" applyProtection="1">
      <alignment horizontal="center" vertical="center" wrapText="1"/>
    </xf>
    <xf numFmtId="37" fontId="78" fillId="3" borderId="0" xfId="1322" applyNumberFormat="1" applyFont="1" applyFill="1" applyBorder="1" applyAlignment="1" applyProtection="1">
      <alignment horizontal="center" vertical="center" wrapText="1"/>
    </xf>
    <xf numFmtId="37" fontId="48" fillId="0" borderId="0" xfId="481" applyNumberFormat="1" applyFont="1" applyAlignment="1">
      <alignment horizontal="center" vertical="center" wrapText="1"/>
    </xf>
    <xf numFmtId="37" fontId="75" fillId="0" borderId="0" xfId="481" applyNumberFormat="1" applyFont="1" applyAlignment="1">
      <alignment vertical="center"/>
    </xf>
    <xf numFmtId="37" fontId="83" fillId="0" borderId="0" xfId="481" applyNumberFormat="1" applyFont="1" applyAlignment="1">
      <alignment horizontal="center" vertical="center" wrapText="1"/>
    </xf>
    <xf numFmtId="37" fontId="83" fillId="3" borderId="0" xfId="481" applyNumberFormat="1" applyFont="1" applyFill="1" applyAlignment="1">
      <alignment horizontal="center" vertical="center" wrapText="1"/>
    </xf>
    <xf numFmtId="37" fontId="37" fillId="0" borderId="0" xfId="481" applyNumberFormat="1" applyFont="1" applyAlignment="1">
      <alignment horizontal="center" vertical="center" wrapText="1"/>
    </xf>
    <xf numFmtId="37" fontId="83" fillId="0" borderId="0" xfId="481" applyNumberFormat="1" applyFont="1" applyAlignment="1">
      <alignment vertical="center"/>
    </xf>
    <xf numFmtId="37" fontId="14" fillId="0" borderId="0" xfId="481" applyNumberFormat="1" applyAlignment="1">
      <alignment horizontal="left" vertical="center"/>
    </xf>
    <xf numFmtId="37" fontId="37" fillId="3" borderId="0" xfId="481" applyNumberFormat="1" applyFont="1" applyFill="1" applyAlignment="1">
      <alignment horizontal="center" vertical="center" wrapText="1"/>
    </xf>
    <xf numFmtId="37" fontId="83" fillId="0" borderId="0" xfId="481" applyNumberFormat="1" applyFont="1" applyAlignment="1">
      <alignment horizontal="left" vertical="center"/>
    </xf>
    <xf numFmtId="37" fontId="11" fillId="0" borderId="3" xfId="481" applyNumberFormat="1" applyFont="1" applyBorder="1" applyAlignment="1">
      <alignment horizontal="left" vertical="center"/>
    </xf>
    <xf numFmtId="37" fontId="11" fillId="0" borderId="3" xfId="1322" applyNumberFormat="1" applyFont="1" applyFill="1" applyBorder="1" applyAlignment="1" applyProtection="1">
      <alignment horizontal="center" vertical="center"/>
    </xf>
    <xf numFmtId="37" fontId="11" fillId="3" borderId="3" xfId="1322" applyNumberFormat="1" applyFont="1" applyFill="1" applyBorder="1" applyAlignment="1" applyProtection="1">
      <alignment horizontal="center" vertical="center"/>
    </xf>
    <xf numFmtId="37" fontId="83" fillId="0" borderId="0" xfId="1322" applyNumberFormat="1" applyFont="1" applyFill="1" applyBorder="1" applyAlignment="1" applyProtection="1">
      <alignment horizontal="center" vertical="center"/>
    </xf>
    <xf numFmtId="37" fontId="11" fillId="0" borderId="18" xfId="481" applyNumberFormat="1" applyFont="1" applyBorder="1" applyAlignment="1">
      <alignment horizontal="left" vertical="center"/>
    </xf>
    <xf numFmtId="37" fontId="11" fillId="0" borderId="18" xfId="1322" applyNumberFormat="1" applyFont="1" applyFill="1" applyBorder="1" applyAlignment="1" applyProtection="1">
      <alignment horizontal="center" vertical="center"/>
    </xf>
    <xf numFmtId="37" fontId="11" fillId="3" borderId="18" xfId="1322" applyNumberFormat="1" applyFont="1" applyFill="1" applyBorder="1" applyAlignment="1" applyProtection="1">
      <alignment horizontal="center" vertical="center"/>
    </xf>
    <xf numFmtId="37" fontId="83" fillId="0" borderId="0" xfId="1322" applyNumberFormat="1" applyFont="1" applyFill="1" applyBorder="1" applyAlignment="1" applyProtection="1">
      <alignment horizontal="center" vertical="center"/>
      <protection locked="0"/>
    </xf>
    <xf numFmtId="37" fontId="83" fillId="3" borderId="0" xfId="1322" applyNumberFormat="1" applyFont="1" applyFill="1" applyBorder="1" applyAlignment="1" applyProtection="1">
      <alignment horizontal="center" vertical="center"/>
      <protection locked="0"/>
    </xf>
    <xf numFmtId="37" fontId="48" fillId="0" borderId="3" xfId="481" applyNumberFormat="1" applyFont="1" applyBorder="1" applyAlignment="1">
      <alignment horizontal="center" vertical="center" wrapText="1"/>
    </xf>
    <xf numFmtId="37" fontId="11" fillId="0" borderId="0" xfId="1322" applyNumberFormat="1" applyFont="1" applyFill="1" applyBorder="1" applyAlignment="1" applyProtection="1">
      <alignment horizontal="center" vertical="center"/>
    </xf>
    <xf numFmtId="37" fontId="11" fillId="3" borderId="0" xfId="1322" applyNumberFormat="1" applyFont="1" applyFill="1" applyBorder="1" applyAlignment="1" applyProtection="1">
      <alignment horizontal="center" vertical="center"/>
    </xf>
    <xf numFmtId="37" fontId="11" fillId="0" borderId="3" xfId="1322" applyNumberFormat="1" applyFont="1" applyFill="1" applyBorder="1" applyAlignment="1" applyProtection="1">
      <alignment horizontal="left" vertical="center"/>
    </xf>
    <xf numFmtId="37" fontId="14" fillId="0" borderId="18" xfId="1322" applyNumberFormat="1" applyFont="1" applyFill="1" applyBorder="1" applyAlignment="1" applyProtection="1">
      <alignment horizontal="left" vertical="center"/>
    </xf>
    <xf numFmtId="37" fontId="11" fillId="0" borderId="19" xfId="481" applyNumberFormat="1" applyFont="1" applyBorder="1" applyAlignment="1">
      <alignment horizontal="left" vertical="center"/>
    </xf>
    <xf numFmtId="37" fontId="11" fillId="0" borderId="19" xfId="1322" applyNumberFormat="1" applyFont="1" applyFill="1" applyBorder="1" applyAlignment="1" applyProtection="1">
      <alignment horizontal="center" vertical="center"/>
    </xf>
    <xf numFmtId="37" fontId="11" fillId="3" borderId="19" xfId="1322" applyNumberFormat="1" applyFont="1" applyFill="1" applyBorder="1" applyAlignment="1" applyProtection="1">
      <alignment horizontal="center" vertical="center"/>
    </xf>
    <xf numFmtId="37" fontId="14" fillId="3" borderId="0" xfId="1322" applyNumberFormat="1" applyFont="1" applyFill="1" applyBorder="1" applyAlignment="1" applyProtection="1">
      <alignment horizontal="center" vertical="center"/>
    </xf>
    <xf numFmtId="37" fontId="75" fillId="0" borderId="0" xfId="481" applyNumberFormat="1" applyFont="1" applyAlignment="1">
      <alignment horizontal="left" vertical="center"/>
    </xf>
    <xf numFmtId="37" fontId="82" fillId="0" borderId="0" xfId="1322" applyNumberFormat="1" applyFont="1" applyFill="1" applyBorder="1" applyAlignment="1" applyProtection="1">
      <alignment horizontal="center" vertical="center"/>
    </xf>
    <xf numFmtId="37" fontId="82" fillId="3" borderId="0" xfId="481" applyNumberFormat="1" applyFont="1" applyFill="1" applyAlignment="1">
      <alignment horizontal="center" vertical="center" wrapText="1"/>
    </xf>
    <xf numFmtId="37" fontId="82" fillId="0" borderId="0" xfId="481" applyNumberFormat="1" applyFont="1" applyAlignment="1">
      <alignment vertical="center"/>
    </xf>
    <xf numFmtId="37" fontId="11" fillId="0" borderId="3" xfId="481" applyNumberFormat="1" applyFont="1" applyBorder="1" applyAlignment="1">
      <alignment vertical="center"/>
    </xf>
    <xf numFmtId="37" fontId="11" fillId="0" borderId="0" xfId="481" applyNumberFormat="1" applyFont="1" applyAlignment="1">
      <alignment vertical="center"/>
    </xf>
    <xf numFmtId="37" fontId="11" fillId="3" borderId="19" xfId="481" applyNumberFormat="1" applyFont="1" applyFill="1" applyBorder="1" applyAlignment="1">
      <alignment horizontal="center" vertical="center"/>
    </xf>
    <xf numFmtId="37" fontId="11" fillId="0" borderId="19" xfId="481" quotePrefix="1" applyNumberFormat="1" applyFont="1" applyBorder="1" applyAlignment="1">
      <alignment horizontal="left" vertical="center"/>
    </xf>
    <xf numFmtId="37" fontId="48" fillId="0" borderId="20" xfId="481" applyNumberFormat="1" applyFont="1" applyBorder="1" applyAlignment="1">
      <alignment horizontal="centerContinuous" vertical="center"/>
    </xf>
    <xf numFmtId="37" fontId="37" fillId="0" borderId="8" xfId="481" applyNumberFormat="1" applyFont="1" applyBorder="1" applyAlignment="1">
      <alignment horizontal="centerContinuous" vertical="center" wrapText="1"/>
    </xf>
    <xf numFmtId="37" fontId="37" fillId="0" borderId="21" xfId="481" applyNumberFormat="1" applyFont="1" applyBorder="1" applyAlignment="1">
      <alignment horizontal="centerContinuous" vertical="center" wrapText="1"/>
    </xf>
    <xf numFmtId="37" fontId="75" fillId="0" borderId="0" xfId="481" applyNumberFormat="1" applyFont="1" applyAlignment="1">
      <alignment horizontal="right" vertical="center"/>
    </xf>
    <xf numFmtId="37" fontId="11" fillId="0" borderId="1" xfId="481" applyNumberFormat="1" applyFont="1" applyBorder="1" applyAlignment="1">
      <alignment horizontal="center" vertical="center"/>
    </xf>
    <xf numFmtId="37" fontId="14" fillId="0" borderId="0" xfId="481" applyNumberFormat="1" applyAlignment="1">
      <alignment horizontal="right" vertical="center"/>
    </xf>
    <xf numFmtId="5" fontId="14" fillId="0" borderId="0" xfId="481" applyNumberFormat="1" applyAlignment="1">
      <alignment horizontal="center" vertical="center"/>
    </xf>
    <xf numFmtId="37" fontId="83" fillId="0" borderId="0" xfId="1322" applyNumberFormat="1" applyFont="1" applyFill="1" applyBorder="1" applyAlignment="1">
      <alignment horizontal="center" vertical="center"/>
    </xf>
    <xf numFmtId="37" fontId="14" fillId="37" borderId="0" xfId="481" applyNumberFormat="1" applyFill="1" applyAlignment="1">
      <alignment vertical="center"/>
    </xf>
    <xf numFmtId="37" fontId="82" fillId="37" borderId="0" xfId="481" applyNumberFormat="1" applyFont="1" applyFill="1" applyAlignment="1">
      <alignment vertical="center"/>
    </xf>
    <xf numFmtId="14" fontId="14" fillId="0" borderId="0" xfId="0" applyNumberFormat="1" applyFont="1" applyAlignment="1">
      <alignment vertical="center"/>
    </xf>
    <xf numFmtId="0" fontId="14" fillId="0" borderId="0" xfId="0" applyFont="1"/>
    <xf numFmtId="37" fontId="96" fillId="0" borderId="0" xfId="481" applyNumberFormat="1" applyFont="1" applyAlignment="1">
      <alignment vertical="center"/>
    </xf>
    <xf numFmtId="37" fontId="14" fillId="43" borderId="2" xfId="0" applyNumberFormat="1" applyFont="1" applyFill="1" applyBorder="1" applyAlignment="1">
      <alignment horizontal="center" vertical="center"/>
    </xf>
    <xf numFmtId="37" fontId="48" fillId="0" borderId="0" xfId="1" applyNumberFormat="1" applyFont="1" applyFill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89" fillId="0" borderId="0" xfId="0" applyFont="1" applyProtection="1">
      <protection locked="0"/>
    </xf>
    <xf numFmtId="37" fontId="89" fillId="0" borderId="0" xfId="0" applyNumberFormat="1" applyFont="1" applyAlignment="1" applyProtection="1">
      <alignment vertical="center"/>
      <protection locked="0"/>
    </xf>
    <xf numFmtId="37" fontId="14" fillId="37" borderId="0" xfId="0" applyNumberFormat="1" applyFont="1" applyFill="1" applyAlignment="1" applyProtection="1">
      <alignment vertical="center"/>
      <protection locked="0"/>
    </xf>
    <xf numFmtId="37" fontId="11" fillId="37" borderId="19" xfId="0" applyNumberFormat="1" applyFont="1" applyFill="1" applyBorder="1" applyAlignment="1" applyProtection="1">
      <alignment horizontal="center" vertical="center" wrapText="1"/>
      <protection locked="0"/>
    </xf>
    <xf numFmtId="0" fontId="99" fillId="37" borderId="0" xfId="0" applyFont="1" applyFill="1" applyAlignment="1">
      <alignment horizontal="left" wrapText="1"/>
    </xf>
    <xf numFmtId="0" fontId="0" fillId="37" borderId="0" xfId="640" applyFont="1" applyFill="1" applyAlignment="1">
      <alignment vertical="center"/>
    </xf>
    <xf numFmtId="0" fontId="14" fillId="0" borderId="0" xfId="481" applyAlignment="1">
      <alignment horizontal="center" vertical="top"/>
    </xf>
    <xf numFmtId="37" fontId="14" fillId="0" borderId="1" xfId="0" applyNumberFormat="1" applyFont="1" applyBorder="1" applyAlignment="1" applyProtection="1">
      <alignment vertical="center"/>
      <protection locked="0"/>
    </xf>
    <xf numFmtId="37" fontId="37" fillId="0" borderId="1" xfId="2" applyNumberFormat="1" applyFont="1" applyFill="1" applyBorder="1" applyAlignment="1" applyProtection="1">
      <alignment horizontal="center" vertical="center"/>
      <protection locked="0" hidden="1"/>
    </xf>
    <xf numFmtId="37" fontId="48" fillId="0" borderId="3" xfId="2" applyNumberFormat="1" applyFont="1" applyFill="1" applyBorder="1" applyAlignment="1" applyProtection="1">
      <alignment horizontal="center" vertical="center"/>
      <protection locked="0" hidden="1"/>
    </xf>
    <xf numFmtId="39" fontId="14" fillId="0" borderId="0" xfId="0" applyNumberFormat="1" applyFont="1" applyAlignment="1" applyProtection="1">
      <alignment horizontal="center" vertical="center"/>
      <protection locked="0"/>
    </xf>
    <xf numFmtId="0" fontId="14" fillId="0" borderId="0" xfId="0" quotePrefix="1" applyFont="1" applyAlignment="1">
      <alignment horizontal="left"/>
    </xf>
    <xf numFmtId="0" fontId="11" fillId="0" borderId="0" xfId="1421" applyFont="1"/>
    <xf numFmtId="187" fontId="11" fillId="0" borderId="0" xfId="1421" quotePrefix="1" applyNumberFormat="1" applyFont="1" applyAlignment="1">
      <alignment horizontal="left"/>
    </xf>
    <xf numFmtId="0" fontId="100" fillId="0" borderId="0" xfId="481" applyFont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182" fontId="0" fillId="0" borderId="0" xfId="1" applyNumberFormat="1" applyFont="1" applyFill="1" applyBorder="1" applyAlignment="1"/>
    <xf numFmtId="182" fontId="11" fillId="0" borderId="22" xfId="1" applyNumberFormat="1" applyFont="1" applyFill="1" applyBorder="1" applyAlignment="1"/>
    <xf numFmtId="182" fontId="0" fillId="0" borderId="1" xfId="1" applyNumberFormat="1" applyFont="1" applyFill="1" applyBorder="1" applyAlignment="1"/>
    <xf numFmtId="0" fontId="0" fillId="0" borderId="1" xfId="0" applyBorder="1" applyAlignment="1">
      <alignment horizontal="center"/>
    </xf>
    <xf numFmtId="37" fontId="0" fillId="0" borderId="1" xfId="0" applyNumberFormat="1" applyBorder="1"/>
    <xf numFmtId="1" fontId="14" fillId="0" borderId="0" xfId="1312" applyNumberFormat="1" applyFont="1" applyAlignment="1">
      <alignment vertical="center"/>
    </xf>
    <xf numFmtId="37" fontId="78" fillId="0" borderId="0" xfId="1" applyNumberFormat="1" applyFont="1" applyFill="1" applyBorder="1" applyAlignment="1" applyProtection="1">
      <alignment horizontal="center" vertical="center" wrapText="1"/>
      <protection locked="0"/>
    </xf>
    <xf numFmtId="37" fontId="11" fillId="0" borderId="0" xfId="2" applyNumberFormat="1" applyFont="1" applyFill="1" applyBorder="1" applyAlignment="1" applyProtection="1">
      <alignment horizontal="center" vertical="center"/>
      <protection locked="0"/>
    </xf>
    <xf numFmtId="37" fontId="78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37" fontId="11" fillId="0" borderId="0" xfId="0" applyNumberFormat="1" applyFont="1" applyAlignment="1" applyProtection="1">
      <alignment horizontal="center" vertical="center"/>
      <protection locked="0" hidden="1"/>
    </xf>
    <xf numFmtId="37" fontId="11" fillId="0" borderId="18" xfId="0" applyNumberFormat="1" applyFont="1" applyBorder="1" applyAlignment="1" applyProtection="1">
      <alignment horizontal="center" vertical="center"/>
      <protection locked="0" hidden="1"/>
    </xf>
    <xf numFmtId="37" fontId="83" fillId="0" borderId="0" xfId="0" applyNumberFormat="1" applyFont="1" applyAlignment="1" applyProtection="1">
      <alignment horizontal="center" vertical="center"/>
      <protection locked="0" hidden="1"/>
    </xf>
    <xf numFmtId="37" fontId="78" fillId="0" borderId="0" xfId="0" applyNumberFormat="1" applyFont="1" applyAlignment="1" applyProtection="1">
      <alignment horizontal="center" vertical="center"/>
      <protection locked="0" hidden="1"/>
    </xf>
    <xf numFmtId="37" fontId="14" fillId="0" borderId="0" xfId="2" applyNumberFormat="1" applyFont="1" applyFill="1" applyBorder="1" applyAlignment="1" applyProtection="1">
      <alignment horizontal="center" vertical="center"/>
      <protection locked="0" hidden="1"/>
    </xf>
    <xf numFmtId="37" fontId="11" fillId="0" borderId="0" xfId="2" applyNumberFormat="1" applyFont="1" applyFill="1" applyBorder="1" applyAlignment="1" applyProtection="1">
      <alignment horizontal="center" vertical="center"/>
      <protection locked="0" hidden="1"/>
    </xf>
    <xf numFmtId="37" fontId="14" fillId="39" borderId="2" xfId="0" applyNumberFormat="1" applyFont="1" applyFill="1" applyBorder="1" applyAlignment="1">
      <alignment horizontal="center" vertical="center"/>
    </xf>
    <xf numFmtId="37" fontId="14" fillId="44" borderId="2" xfId="0" applyNumberFormat="1" applyFont="1" applyFill="1" applyBorder="1" applyAlignment="1">
      <alignment horizontal="center" vertical="center"/>
    </xf>
    <xf numFmtId="37" fontId="14" fillId="0" borderId="2" xfId="0" applyNumberFormat="1" applyFont="1" applyBorder="1" applyAlignment="1">
      <alignment horizontal="center" vertical="center"/>
    </xf>
    <xf numFmtId="37" fontId="14" fillId="45" borderId="2" xfId="0" applyNumberFormat="1" applyFont="1" applyFill="1" applyBorder="1" applyAlignment="1">
      <alignment horizontal="center" vertical="center"/>
    </xf>
    <xf numFmtId="37" fontId="11" fillId="0" borderId="3" xfId="0" applyNumberFormat="1" applyFont="1" applyBorder="1" applyAlignment="1">
      <alignment horizontal="center" vertical="center"/>
    </xf>
    <xf numFmtId="37" fontId="11" fillId="0" borderId="19" xfId="2" applyNumberFormat="1" applyFont="1" applyFill="1" applyBorder="1" applyAlignment="1" applyProtection="1">
      <alignment horizontal="center" vertical="center"/>
    </xf>
    <xf numFmtId="0" fontId="98" fillId="0" borderId="0" xfId="0" applyFont="1" applyAlignment="1">
      <alignment horizontal="left" indent="2"/>
    </xf>
    <xf numFmtId="37" fontId="14" fillId="44" borderId="0" xfId="0" applyNumberFormat="1" applyFont="1" applyFill="1" applyAlignment="1">
      <alignment horizontal="center" vertical="center"/>
    </xf>
    <xf numFmtId="37" fontId="14" fillId="43" borderId="0" xfId="0" applyNumberFormat="1" applyFont="1" applyFill="1" applyAlignment="1" applyProtection="1">
      <alignment horizontal="center" vertical="center"/>
      <protection locked="0" hidden="1"/>
    </xf>
    <xf numFmtId="37" fontId="14" fillId="45" borderId="0" xfId="0" applyNumberFormat="1" applyFont="1" applyFill="1" applyAlignment="1">
      <alignment horizontal="center" vertical="center"/>
    </xf>
    <xf numFmtId="37" fontId="14" fillId="44" borderId="2" xfId="0" applyNumberFormat="1" applyFont="1" applyFill="1" applyBorder="1" applyAlignment="1">
      <alignment horizontal="center" vertical="center" wrapText="1"/>
    </xf>
    <xf numFmtId="37" fontId="11" fillId="0" borderId="19" xfId="1322" applyNumberFormat="1" applyFont="1" applyFill="1" applyBorder="1" applyAlignment="1" applyProtection="1">
      <alignment horizontal="center" vertical="center" wrapText="1"/>
    </xf>
    <xf numFmtId="37" fontId="78" fillId="0" borderId="0" xfId="1322" applyNumberFormat="1" applyFont="1" applyFill="1" applyBorder="1" applyAlignment="1" applyProtection="1">
      <alignment horizontal="center" vertical="center"/>
    </xf>
    <xf numFmtId="37" fontId="14" fillId="44" borderId="0" xfId="0" applyNumberFormat="1" applyFont="1" applyFill="1" applyAlignment="1">
      <alignment horizontal="center" vertical="center" wrapText="1"/>
    </xf>
    <xf numFmtId="37" fontId="11" fillId="0" borderId="19" xfId="1117" applyNumberFormat="1" applyFont="1" applyFill="1" applyBorder="1" applyAlignment="1" applyProtection="1">
      <alignment horizontal="center" vertical="center" wrapText="1"/>
    </xf>
    <xf numFmtId="37" fontId="78" fillId="0" borderId="0" xfId="1117" applyNumberFormat="1" applyFont="1" applyFill="1" applyBorder="1" applyAlignment="1" applyProtection="1">
      <alignment horizontal="center" vertical="center"/>
    </xf>
    <xf numFmtId="37" fontId="14" fillId="0" borderId="0" xfId="1117" applyNumberFormat="1" applyFont="1" applyFill="1" applyBorder="1" applyAlignment="1">
      <alignment horizontal="center" vertical="center"/>
    </xf>
    <xf numFmtId="0" fontId="14" fillId="0" borderId="0" xfId="1421" applyFont="1"/>
    <xf numFmtId="182" fontId="14" fillId="0" borderId="0" xfId="1" applyNumberFormat="1" applyFont="1" applyFill="1"/>
    <xf numFmtId="182" fontId="14" fillId="0" borderId="0" xfId="1" applyNumberFormat="1" applyFont="1" applyFill="1" applyAlignment="1">
      <alignment horizontal="center"/>
    </xf>
    <xf numFmtId="188" fontId="14" fillId="0" borderId="0" xfId="1422" applyNumberFormat="1" applyFont="1" applyAlignment="1">
      <alignment horizontal="center"/>
    </xf>
    <xf numFmtId="182" fontId="14" fillId="0" borderId="0" xfId="1" applyNumberFormat="1" applyFont="1"/>
    <xf numFmtId="182" fontId="14" fillId="0" borderId="0" xfId="1" applyNumberFormat="1" applyFont="1" applyFill="1" applyBorder="1" applyAlignment="1">
      <alignment horizontal="right"/>
    </xf>
    <xf numFmtId="182" fontId="14" fillId="0" borderId="0" xfId="1" applyNumberFormat="1" applyFont="1" applyAlignment="1">
      <alignment horizontal="center"/>
    </xf>
    <xf numFmtId="182" fontId="14" fillId="0" borderId="0" xfId="1" applyNumberFormat="1" applyFont="1" applyFill="1" applyBorder="1" applyAlignment="1">
      <alignment horizontal="center"/>
    </xf>
    <xf numFmtId="188" fontId="14" fillId="0" borderId="0" xfId="1422" applyNumberFormat="1" applyFont="1" applyBorder="1" applyAlignment="1">
      <alignment horizontal="center"/>
    </xf>
    <xf numFmtId="182" fontId="14" fillId="0" borderId="0" xfId="1" applyNumberFormat="1" applyFont="1" applyBorder="1" applyAlignment="1">
      <alignment horizontal="center"/>
    </xf>
    <xf numFmtId="182" fontId="14" fillId="0" borderId="0" xfId="1" applyNumberFormat="1" applyFont="1" applyBorder="1"/>
    <xf numFmtId="0" fontId="75" fillId="0" borderId="0" xfId="1421" applyFont="1" applyAlignment="1">
      <alignment horizontal="center" wrapText="1"/>
    </xf>
    <xf numFmtId="182" fontId="75" fillId="0" borderId="0" xfId="1" applyNumberFormat="1" applyFont="1" applyFill="1" applyBorder="1" applyAlignment="1">
      <alignment horizontal="center" wrapText="1"/>
    </xf>
    <xf numFmtId="188" fontId="75" fillId="0" borderId="0" xfId="1422" applyNumberFormat="1" applyFont="1" applyBorder="1" applyAlignment="1">
      <alignment horizontal="center" wrapText="1"/>
    </xf>
    <xf numFmtId="182" fontId="75" fillId="0" borderId="0" xfId="1" applyNumberFormat="1" applyFont="1" applyBorder="1" applyAlignment="1">
      <alignment horizontal="center" wrapText="1"/>
    </xf>
    <xf numFmtId="0" fontId="14" fillId="0" borderId="0" xfId="1421" applyFont="1" applyAlignment="1">
      <alignment wrapText="1"/>
    </xf>
    <xf numFmtId="189" fontId="14" fillId="0" borderId="0" xfId="1422" applyNumberFormat="1" applyFont="1" applyBorder="1" applyAlignment="1">
      <alignment horizontal="center"/>
    </xf>
    <xf numFmtId="182" fontId="14" fillId="0" borderId="0" xfId="1" applyNumberFormat="1" applyFont="1" applyBorder="1" applyAlignment="1">
      <alignment horizontal="right"/>
    </xf>
    <xf numFmtId="182" fontId="14" fillId="0" borderId="0" xfId="1421" applyNumberFormat="1" applyFont="1"/>
    <xf numFmtId="0" fontId="11" fillId="0" borderId="3" xfId="1421" applyFont="1" applyBorder="1"/>
    <xf numFmtId="182" fontId="14" fillId="0" borderId="3" xfId="1" applyNumberFormat="1" applyFont="1" applyFill="1" applyBorder="1" applyAlignment="1">
      <alignment horizontal="right"/>
    </xf>
    <xf numFmtId="189" fontId="14" fillId="0" borderId="0" xfId="249" applyNumberFormat="1" applyFont="1" applyFill="1" applyBorder="1" applyAlignment="1">
      <alignment horizontal="right"/>
    </xf>
    <xf numFmtId="182" fontId="14" fillId="0" borderId="0" xfId="1" applyNumberFormat="1" applyFont="1" applyFill="1" applyBorder="1"/>
    <xf numFmtId="182" fontId="14" fillId="0" borderId="3" xfId="1" applyNumberFormat="1" applyFont="1" applyFill="1" applyBorder="1"/>
    <xf numFmtId="189" fontId="14" fillId="0" borderId="0" xfId="249" applyNumberFormat="1" applyFont="1" applyFill="1" applyBorder="1"/>
    <xf numFmtId="0" fontId="14" fillId="0" borderId="3" xfId="1421" applyFont="1" applyBorder="1"/>
    <xf numFmtId="182" fontId="14" fillId="0" borderId="19" xfId="1" applyNumberFormat="1" applyFont="1" applyFill="1" applyBorder="1"/>
    <xf numFmtId="37" fontId="14" fillId="34" borderId="0" xfId="1117" applyNumberFormat="1" applyFont="1" applyFill="1" applyBorder="1" applyAlignment="1" applyProtection="1">
      <alignment horizontal="right" vertical="center"/>
    </xf>
    <xf numFmtId="0" fontId="96" fillId="0" borderId="0" xfId="0" applyFont="1"/>
    <xf numFmtId="167" fontId="14" fillId="0" borderId="0" xfId="1" quotePrefix="1" applyNumberFormat="1" applyFont="1" applyBorder="1" applyAlignment="1" applyProtection="1">
      <alignment horizontal="center" vertical="center"/>
      <protection locked="0"/>
    </xf>
    <xf numFmtId="37" fontId="14" fillId="39" borderId="0" xfId="0" applyNumberFormat="1" applyFont="1" applyFill="1" applyAlignment="1">
      <alignment horizontal="center" vertical="center"/>
    </xf>
    <xf numFmtId="0" fontId="104" fillId="0" borderId="0" xfId="0" applyFont="1" applyAlignment="1">
      <alignment horizontal="left" vertical="top"/>
    </xf>
    <xf numFmtId="0" fontId="105" fillId="0" borderId="0" xfId="0" applyFont="1" applyAlignment="1">
      <alignment horizontal="left" vertical="top"/>
    </xf>
    <xf numFmtId="0" fontId="107" fillId="0" borderId="0" xfId="0" applyFont="1" applyAlignment="1">
      <alignment horizontal="center" vertical="top"/>
    </xf>
    <xf numFmtId="0" fontId="106" fillId="0" borderId="0" xfId="0" applyFont="1" applyAlignment="1">
      <alignment horizontal="right" vertical="top"/>
    </xf>
    <xf numFmtId="0" fontId="106" fillId="40" borderId="38" xfId="0" applyFont="1" applyFill="1" applyBorder="1" applyAlignment="1">
      <alignment horizontal="left" vertical="top"/>
    </xf>
    <xf numFmtId="0" fontId="106" fillId="40" borderId="39" xfId="0" applyFont="1" applyFill="1" applyBorder="1" applyAlignment="1">
      <alignment horizontal="left" vertical="top"/>
    </xf>
    <xf numFmtId="0" fontId="106" fillId="41" borderId="37" xfId="0" applyFont="1" applyFill="1" applyBorder="1" applyAlignment="1">
      <alignment horizontal="left" vertical="top"/>
    </xf>
    <xf numFmtId="0" fontId="107" fillId="40" borderId="37" xfId="0" applyFont="1" applyFill="1" applyBorder="1" applyAlignment="1">
      <alignment horizontal="left" vertical="top"/>
    </xf>
    <xf numFmtId="0" fontId="0" fillId="40" borderId="37" xfId="0" applyFill="1" applyBorder="1" applyAlignment="1">
      <alignment horizontal="left" vertical="top"/>
    </xf>
    <xf numFmtId="0" fontId="106" fillId="40" borderId="44" xfId="0" applyFont="1" applyFill="1" applyBorder="1" applyAlignment="1">
      <alignment horizontal="left" vertical="top"/>
    </xf>
    <xf numFmtId="39" fontId="106" fillId="41" borderId="40" xfId="0" applyNumberFormat="1" applyFont="1" applyFill="1" applyBorder="1" applyAlignment="1">
      <alignment horizontal="right" vertical="top"/>
    </xf>
    <xf numFmtId="39" fontId="107" fillId="40" borderId="40" xfId="0" applyNumberFormat="1" applyFont="1" applyFill="1" applyBorder="1" applyAlignment="1">
      <alignment horizontal="right" vertical="top"/>
    </xf>
    <xf numFmtId="0" fontId="14" fillId="0" borderId="0" xfId="481" applyAlignment="1">
      <alignment horizontal="center"/>
    </xf>
    <xf numFmtId="37" fontId="11" fillId="33" borderId="8" xfId="0" applyNumberFormat="1" applyFont="1" applyFill="1" applyBorder="1" applyAlignment="1">
      <alignment horizontal="centerContinuous" vertical="center"/>
    </xf>
    <xf numFmtId="43" fontId="14" fillId="0" borderId="0" xfId="1" applyFont="1" applyFill="1" applyBorder="1" applyAlignment="1">
      <alignment horizontal="right"/>
    </xf>
    <xf numFmtId="189" fontId="14" fillId="0" borderId="19" xfId="1422" applyNumberFormat="1" applyFont="1" applyBorder="1" applyAlignment="1">
      <alignment horizontal="center"/>
    </xf>
    <xf numFmtId="9" fontId="83" fillId="0" borderId="0" xfId="3" applyFont="1" applyFill="1" applyBorder="1" applyAlignment="1" applyProtection="1">
      <alignment horizontal="center" vertical="center"/>
    </xf>
    <xf numFmtId="9" fontId="37" fillId="0" borderId="0" xfId="3" applyFont="1" applyAlignment="1">
      <alignment horizontal="center" vertical="center" wrapText="1"/>
    </xf>
    <xf numFmtId="9" fontId="11" fillId="0" borderId="18" xfId="3" applyFont="1" applyFill="1" applyBorder="1" applyAlignment="1" applyProtection="1">
      <alignment horizontal="center" vertical="center"/>
    </xf>
    <xf numFmtId="9" fontId="78" fillId="0" borderId="0" xfId="3" applyFont="1" applyFill="1" applyBorder="1" applyAlignment="1">
      <alignment horizontal="center" vertical="center"/>
    </xf>
    <xf numFmtId="0" fontId="11" fillId="0" borderId="1" xfId="1275" applyFont="1" applyBorder="1" applyAlignment="1">
      <alignment horizontal="center" vertical="center"/>
    </xf>
    <xf numFmtId="0" fontId="11" fillId="0" borderId="0" xfId="1275" applyFont="1" applyAlignment="1">
      <alignment horizontal="center" vertical="center"/>
    </xf>
    <xf numFmtId="0" fontId="75" fillId="0" borderId="0" xfId="1275" applyFont="1" applyAlignment="1">
      <alignment horizontal="center" vertical="center"/>
    </xf>
    <xf numFmtId="0" fontId="14" fillId="0" borderId="0" xfId="1274" applyAlignment="1">
      <alignment vertical="center"/>
    </xf>
    <xf numFmtId="0" fontId="14" fillId="0" borderId="0" xfId="1274"/>
    <xf numFmtId="37" fontId="14" fillId="0" borderId="0" xfId="1274" applyNumberFormat="1" applyAlignment="1">
      <alignment horizontal="left" vertical="center"/>
    </xf>
    <xf numFmtId="5" fontId="0" fillId="0" borderId="1" xfId="0" applyNumberFormat="1" applyBorder="1"/>
    <xf numFmtId="182" fontId="14" fillId="0" borderId="0" xfId="1" applyNumberFormat="1"/>
    <xf numFmtId="182" fontId="0" fillId="0" borderId="0" xfId="1" applyNumberFormat="1" applyFont="1" applyAlignment="1">
      <alignment vertical="center"/>
    </xf>
    <xf numFmtId="0" fontId="108" fillId="0" borderId="0" xfId="0" applyFont="1" applyAlignment="1">
      <alignment vertical="center"/>
    </xf>
    <xf numFmtId="182" fontId="0" fillId="0" borderId="1" xfId="1" applyNumberFormat="1" applyFont="1" applyBorder="1" applyAlignment="1">
      <alignment vertical="center"/>
    </xf>
    <xf numFmtId="182" fontId="0" fillId="46" borderId="1" xfId="1" applyNumberFormat="1" applyFont="1" applyFill="1" applyBorder="1" applyAlignment="1">
      <alignment vertical="center"/>
    </xf>
    <xf numFmtId="10" fontId="0" fillId="0" borderId="1" xfId="3" applyNumberFormat="1" applyFont="1" applyBorder="1" applyAlignment="1">
      <alignment vertical="center"/>
    </xf>
    <xf numFmtId="184" fontId="109" fillId="0" borderId="1" xfId="3" applyNumberFormat="1" applyFont="1" applyBorder="1" applyAlignment="1">
      <alignment vertical="center"/>
    </xf>
    <xf numFmtId="43" fontId="0" fillId="0" borderId="0" xfId="1" applyFont="1"/>
    <xf numFmtId="190" fontId="109" fillId="0" borderId="1" xfId="1423" applyNumberFormat="1" applyFont="1" applyFill="1" applyBorder="1" applyAlignment="1">
      <alignment vertical="center"/>
    </xf>
    <xf numFmtId="191" fontId="109" fillId="0" borderId="1" xfId="1423" applyNumberFormat="1" applyFont="1" applyFill="1" applyBorder="1" applyAlignment="1">
      <alignment vertical="center"/>
    </xf>
    <xf numFmtId="182" fontId="0" fillId="0" borderId="0" xfId="1170" applyNumberFormat="1" applyFont="1" applyAlignment="1">
      <alignment vertical="center"/>
    </xf>
    <xf numFmtId="182" fontId="109" fillId="0" borderId="0" xfId="1170" applyNumberFormat="1" applyFont="1" applyAlignment="1">
      <alignment vertical="center"/>
    </xf>
    <xf numFmtId="0" fontId="108" fillId="0" borderId="0" xfId="0" applyFont="1" applyAlignment="1">
      <alignment horizontal="right" vertical="center"/>
    </xf>
    <xf numFmtId="182" fontId="109" fillId="0" borderId="0" xfId="1170" applyNumberFormat="1" applyFont="1" applyFill="1" applyAlignment="1">
      <alignment vertical="center"/>
    </xf>
    <xf numFmtId="182" fontId="0" fillId="0" borderId="0" xfId="1170" applyNumberFormat="1" applyFont="1" applyFill="1" applyAlignment="1">
      <alignment vertical="center"/>
    </xf>
    <xf numFmtId="182" fontId="14" fillId="0" borderId="0" xfId="1170" applyNumberFormat="1" applyFont="1" applyFill="1" applyAlignment="1">
      <alignment vertical="center"/>
    </xf>
    <xf numFmtId="182" fontId="109" fillId="0" borderId="1" xfId="1170" applyNumberFormat="1" applyFont="1" applyBorder="1" applyAlignment="1">
      <alignment vertical="center"/>
    </xf>
    <xf numFmtId="182" fontId="14" fillId="0" borderId="1" xfId="1" applyNumberFormat="1" applyFont="1" applyFill="1" applyBorder="1" applyAlignment="1">
      <alignment vertical="center"/>
    </xf>
    <xf numFmtId="182" fontId="109" fillId="0" borderId="1" xfId="1" applyNumberFormat="1" applyFont="1" applyFill="1" applyBorder="1" applyAlignment="1">
      <alignment vertical="center"/>
    </xf>
    <xf numFmtId="182" fontId="0" fillId="0" borderId="0" xfId="1" applyNumberFormat="1" applyFont="1" applyFill="1" applyBorder="1" applyAlignment="1">
      <alignment vertical="center"/>
    </xf>
    <xf numFmtId="186" fontId="0" fillId="0" borderId="0" xfId="1231" applyNumberFormat="1" applyFont="1" applyFill="1" applyBorder="1" applyAlignment="1">
      <alignment vertical="center"/>
    </xf>
    <xf numFmtId="0" fontId="11" fillId="0" borderId="0" xfId="1274" applyFont="1" applyAlignment="1">
      <alignment vertical="center"/>
    </xf>
    <xf numFmtId="182" fontId="14" fillId="0" borderId="19" xfId="1" applyNumberFormat="1" applyFont="1" applyBorder="1" applyAlignment="1">
      <alignment vertical="center"/>
    </xf>
    <xf numFmtId="182" fontId="14" fillId="0" borderId="0" xfId="1" applyNumberFormat="1" applyFont="1" applyBorder="1" applyAlignment="1">
      <alignment vertical="center"/>
    </xf>
    <xf numFmtId="37" fontId="11" fillId="0" borderId="22" xfId="0" applyNumberFormat="1" applyFont="1" applyBorder="1"/>
    <xf numFmtId="5" fontId="14" fillId="0" borderId="0" xfId="1231" applyNumberFormat="1" applyFont="1" applyFill="1" applyAlignment="1">
      <alignment vertical="center"/>
    </xf>
    <xf numFmtId="10" fontId="14" fillId="0" borderId="1" xfId="1274" applyNumberFormat="1" applyBorder="1" applyAlignment="1">
      <alignment vertical="center"/>
    </xf>
    <xf numFmtId="5" fontId="14" fillId="0" borderId="0" xfId="1274" applyNumberFormat="1" applyAlignment="1">
      <alignment vertical="center"/>
    </xf>
    <xf numFmtId="186" fontId="0" fillId="0" borderId="0" xfId="0" applyNumberFormat="1" applyAlignment="1">
      <alignment vertical="center"/>
    </xf>
    <xf numFmtId="37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37" fontId="109" fillId="0" borderId="0" xfId="0" applyNumberFormat="1" applyFont="1" applyAlignment="1">
      <alignment vertical="center"/>
    </xf>
    <xf numFmtId="190" fontId="0" fillId="0" borderId="0" xfId="0" applyNumberFormat="1" applyAlignment="1">
      <alignment vertical="center"/>
    </xf>
    <xf numFmtId="182" fontId="0" fillId="0" borderId="0" xfId="1" applyNumberFormat="1" applyFont="1" applyBorder="1" applyAlignment="1">
      <alignment vertical="center"/>
    </xf>
    <xf numFmtId="182" fontId="11" fillId="0" borderId="22" xfId="0" applyNumberFormat="1" applyFont="1" applyBorder="1" applyAlignment="1">
      <alignment vertical="center"/>
    </xf>
    <xf numFmtId="37" fontId="11" fillId="0" borderId="26" xfId="0" applyNumberFormat="1" applyFont="1" applyBorder="1" applyAlignment="1" applyProtection="1">
      <alignment horizontal="center" vertical="center"/>
      <protection locked="0"/>
    </xf>
    <xf numFmtId="0" fontId="14" fillId="0" borderId="42" xfId="0" applyFont="1" applyBorder="1"/>
    <xf numFmtId="37" fontId="14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0" borderId="45" xfId="0" quotePrefix="1" applyBorder="1" applyAlignment="1">
      <alignment horizontal="left"/>
    </xf>
    <xf numFmtId="0" fontId="0" fillId="0" borderId="45" xfId="0" applyBorder="1"/>
    <xf numFmtId="0" fontId="110" fillId="41" borderId="46" xfId="0" quotePrefix="1" applyFont="1" applyFill="1" applyBorder="1" applyAlignment="1">
      <alignment horizontal="center" wrapText="1"/>
    </xf>
    <xf numFmtId="0" fontId="110" fillId="41" borderId="46" xfId="0" applyFont="1" applyFill="1" applyBorder="1"/>
    <xf numFmtId="192" fontId="111" fillId="41" borderId="46" xfId="0" applyNumberFormat="1" applyFont="1" applyFill="1" applyBorder="1"/>
    <xf numFmtId="0" fontId="0" fillId="41" borderId="46" xfId="0" applyFill="1" applyBorder="1"/>
    <xf numFmtId="192" fontId="0" fillId="0" borderId="46" xfId="0" applyNumberFormat="1" applyBorder="1"/>
    <xf numFmtId="37" fontId="11" fillId="0" borderId="1" xfId="1322" applyNumberFormat="1" applyFont="1" applyFill="1" applyBorder="1" applyAlignment="1" applyProtection="1">
      <alignment horizontal="center" vertical="center"/>
    </xf>
    <xf numFmtId="37" fontId="14" fillId="4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Continuous" vertical="center"/>
    </xf>
    <xf numFmtId="0" fontId="92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2" fillId="0" borderId="0" xfId="0" quotePrefix="1" applyFont="1" applyAlignment="1">
      <alignment horizontal="center" vertical="center"/>
    </xf>
    <xf numFmtId="5" fontId="12" fillId="0" borderId="0" xfId="0" applyNumberFormat="1" applyFont="1" applyAlignment="1">
      <alignment horizontal="right" vertical="center"/>
    </xf>
    <xf numFmtId="5" fontId="12" fillId="0" borderId="0" xfId="0" applyNumberFormat="1" applyFont="1" applyAlignment="1">
      <alignment horizontal="center" vertical="center"/>
    </xf>
    <xf numFmtId="5" fontId="12" fillId="0" borderId="0" xfId="0" applyNumberFormat="1" applyFont="1" applyAlignment="1">
      <alignment horizontal="left" vertical="center"/>
    </xf>
    <xf numFmtId="10" fontId="12" fillId="0" borderId="0" xfId="0" applyNumberFormat="1" applyFont="1" applyAlignment="1">
      <alignment horizontal="right" vertical="center"/>
    </xf>
    <xf numFmtId="10" fontId="12" fillId="0" borderId="0" xfId="1424" applyNumberFormat="1" applyFont="1" applyFill="1" applyAlignment="1">
      <alignment horizontal="right" vertical="center"/>
    </xf>
    <xf numFmtId="10" fontId="12" fillId="0" borderId="3" xfId="0" applyNumberFormat="1" applyFont="1" applyBorder="1" applyAlignment="1">
      <alignment horizontal="right" vertical="center"/>
    </xf>
    <xf numFmtId="0" fontId="12" fillId="0" borderId="0" xfId="0" quotePrefix="1" applyFont="1" applyAlignment="1">
      <alignment horizontal="right" vertical="center"/>
    </xf>
    <xf numFmtId="194" fontId="12" fillId="0" borderId="1" xfId="0" applyNumberFormat="1" applyFont="1" applyBorder="1" applyAlignment="1">
      <alignment horizontal="right" vertical="center"/>
    </xf>
    <xf numFmtId="5" fontId="12" fillId="0" borderId="24" xfId="0" applyNumberFormat="1" applyFont="1" applyBorder="1" applyAlignment="1">
      <alignment horizontal="right" vertical="center"/>
    </xf>
    <xf numFmtId="182" fontId="12" fillId="0" borderId="0" xfId="1" applyNumberFormat="1" applyFont="1" applyFill="1" applyBorder="1" applyAlignment="1">
      <alignment vertical="center"/>
    </xf>
    <xf numFmtId="6" fontId="12" fillId="0" borderId="0" xfId="0" applyNumberFormat="1" applyFont="1" applyAlignment="1">
      <alignment vertical="center"/>
    </xf>
    <xf numFmtId="5" fontId="12" fillId="0" borderId="0" xfId="0" applyNumberFormat="1" applyFont="1" applyAlignment="1">
      <alignment vertical="center"/>
    </xf>
    <xf numFmtId="0" fontId="12" fillId="0" borderId="0" xfId="0" quotePrefix="1" applyFont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10" fontId="12" fillId="0" borderId="0" xfId="0" applyNumberFormat="1" applyFont="1" applyAlignment="1">
      <alignment horizontal="center" vertical="center"/>
    </xf>
    <xf numFmtId="37" fontId="12" fillId="0" borderId="0" xfId="0" applyNumberFormat="1" applyFont="1" applyAlignment="1">
      <alignment horizontal="right" vertical="center"/>
    </xf>
    <xf numFmtId="5" fontId="12" fillId="0" borderId="19" xfId="0" applyNumberFormat="1" applyFont="1" applyBorder="1" applyAlignment="1">
      <alignment horizontal="right" vertical="center"/>
    </xf>
    <xf numFmtId="0" fontId="12" fillId="0" borderId="0" xfId="0" quotePrefix="1" applyFont="1" applyAlignment="1">
      <alignment vertical="center"/>
    </xf>
    <xf numFmtId="193" fontId="12" fillId="0" borderId="0" xfId="0" applyNumberFormat="1" applyFont="1" applyAlignment="1">
      <alignment vertical="center"/>
    </xf>
    <xf numFmtId="5" fontId="0" fillId="0" borderId="0" xfId="0" applyNumberFormat="1"/>
    <xf numFmtId="195" fontId="12" fillId="0" borderId="0" xfId="0" applyNumberFormat="1" applyFont="1" applyAlignment="1">
      <alignment vertical="center"/>
    </xf>
    <xf numFmtId="0" fontId="12" fillId="0" borderId="0" xfId="0" applyFont="1"/>
    <xf numFmtId="0" fontId="17" fillId="0" borderId="0" xfId="0" applyFont="1" applyAlignment="1">
      <alignment horizontal="center" vertical="center"/>
    </xf>
    <xf numFmtId="0" fontId="113" fillId="0" borderId="0" xfId="0" applyFont="1" applyAlignment="1">
      <alignment vertical="center"/>
    </xf>
    <xf numFmtId="5" fontId="12" fillId="0" borderId="1" xfId="0" applyNumberFormat="1" applyFont="1" applyBorder="1" applyAlignment="1">
      <alignment horizontal="right" vertical="center"/>
    </xf>
    <xf numFmtId="0" fontId="92" fillId="0" borderId="0" xfId="1425" applyFont="1" applyAlignment="1">
      <alignment vertical="center"/>
    </xf>
    <xf numFmtId="38" fontId="12" fillId="0" borderId="0" xfId="1426" applyFont="1" applyAlignment="1">
      <alignment vertical="center"/>
    </xf>
    <xf numFmtId="38" fontId="12" fillId="0" borderId="0" xfId="1426" applyFont="1" applyAlignment="1">
      <alignment horizontal="right" vertical="center"/>
    </xf>
    <xf numFmtId="38" fontId="12" fillId="0" borderId="0" xfId="1426" applyFont="1" applyAlignment="1">
      <alignment horizontal="centerContinuous" vertical="center"/>
    </xf>
    <xf numFmtId="38" fontId="12" fillId="0" borderId="0" xfId="1426" applyFont="1" applyAlignment="1">
      <alignment horizontal="center" vertical="center"/>
    </xf>
    <xf numFmtId="38" fontId="12" fillId="0" borderId="0" xfId="1426" quotePrefix="1" applyFont="1" applyAlignment="1">
      <alignment horizontal="center" vertical="center"/>
    </xf>
    <xf numFmtId="38" fontId="13" fillId="0" borderId="0" xfId="1426" applyFont="1" applyAlignment="1">
      <alignment vertical="center"/>
    </xf>
    <xf numFmtId="38" fontId="12" fillId="0" borderId="0" xfId="1426" quotePrefix="1" applyFont="1" applyAlignment="1">
      <alignment horizontal="centerContinuous" vertical="center"/>
    </xf>
    <xf numFmtId="38" fontId="12" fillId="0" borderId="1" xfId="1426" applyFont="1" applyBorder="1" applyAlignment="1">
      <alignment horizontal="center" vertical="center" wrapText="1"/>
    </xf>
    <xf numFmtId="38" fontId="12" fillId="0" borderId="0" xfId="1426" applyFont="1" applyAlignment="1">
      <alignment horizontal="center" vertical="center" wrapText="1"/>
    </xf>
    <xf numFmtId="38" fontId="12" fillId="0" borderId="0" xfId="1426" applyFont="1" applyAlignment="1">
      <alignment horizontal="left" vertical="center"/>
    </xf>
    <xf numFmtId="5" fontId="12" fillId="0" borderId="0" xfId="1426" applyNumberFormat="1" applyFont="1" applyAlignment="1">
      <alignment vertical="center"/>
    </xf>
    <xf numFmtId="37" fontId="12" fillId="0" borderId="1" xfId="1426" applyNumberFormat="1" applyFont="1" applyBorder="1" applyAlignment="1">
      <alignment vertical="center"/>
    </xf>
    <xf numFmtId="37" fontId="12" fillId="0" borderId="0" xfId="1426" applyNumberFormat="1" applyFont="1" applyAlignment="1">
      <alignment vertical="center"/>
    </xf>
    <xf numFmtId="37" fontId="12" fillId="0" borderId="0" xfId="1426" applyNumberFormat="1" applyFont="1" applyAlignment="1">
      <alignment horizontal="left" vertical="center"/>
    </xf>
    <xf numFmtId="5" fontId="12" fillId="0" borderId="24" xfId="1426" applyNumberFormat="1" applyFont="1" applyBorder="1" applyAlignment="1">
      <alignment vertical="center"/>
    </xf>
    <xf numFmtId="37" fontId="12" fillId="0" borderId="0" xfId="1426" applyNumberFormat="1" applyFont="1" applyAlignment="1">
      <alignment horizontal="right" vertical="center"/>
    </xf>
    <xf numFmtId="38" fontId="12" fillId="0" borderId="0" xfId="1426" quotePrefix="1" applyFont="1" applyAlignment="1">
      <alignment vertical="center"/>
    </xf>
    <xf numFmtId="9" fontId="12" fillId="0" borderId="0" xfId="1426" applyNumberFormat="1" applyFont="1" applyAlignment="1">
      <alignment horizontal="right" vertical="center"/>
    </xf>
    <xf numFmtId="38" fontId="18" fillId="0" borderId="0" xfId="1426" applyFont="1" applyAlignment="1">
      <alignment vertical="center"/>
    </xf>
    <xf numFmtId="38" fontId="12" fillId="0" borderId="0" xfId="1426" quotePrefix="1" applyFont="1" applyAlignment="1">
      <alignment horizontal="left" vertical="center"/>
    </xf>
    <xf numFmtId="10" fontId="12" fillId="0" borderId="0" xfId="1424" applyNumberFormat="1" applyFont="1" applyFill="1" applyBorder="1" applyAlignment="1">
      <alignment horizontal="right" vertical="center"/>
    </xf>
    <xf numFmtId="7" fontId="12" fillId="0" borderId="0" xfId="1426" quotePrefix="1" applyNumberFormat="1" applyFont="1" applyAlignment="1">
      <alignment horizontal="left" vertical="center"/>
    </xf>
    <xf numFmtId="7" fontId="18" fillId="0" borderId="0" xfId="1426" applyNumberFormat="1" applyFont="1" applyAlignment="1">
      <alignment vertical="center"/>
    </xf>
    <xf numFmtId="39" fontId="12" fillId="0" borderId="0" xfId="1424" applyNumberFormat="1" applyFont="1" applyFill="1" applyAlignment="1">
      <alignment horizontal="right" vertical="center"/>
    </xf>
    <xf numFmtId="39" fontId="12" fillId="0" borderId="0" xfId="1424" quotePrefix="1" applyNumberFormat="1" applyFont="1" applyFill="1" applyBorder="1" applyAlignment="1">
      <alignment horizontal="left" vertical="center"/>
    </xf>
    <xf numFmtId="39" fontId="12" fillId="0" borderId="0" xfId="1426" applyNumberFormat="1" applyFont="1" applyAlignment="1">
      <alignment horizontal="right" vertical="center"/>
    </xf>
    <xf numFmtId="2" fontId="12" fillId="0" borderId="0" xfId="1426" applyNumberFormat="1" applyFont="1" applyAlignment="1">
      <alignment vertical="center"/>
    </xf>
    <xf numFmtId="10" fontId="12" fillId="0" borderId="0" xfId="1424" applyNumberFormat="1" applyFont="1" applyAlignment="1">
      <alignment vertical="center"/>
    </xf>
    <xf numFmtId="10" fontId="18" fillId="0" borderId="0" xfId="1426" applyNumberFormat="1" applyFont="1" applyAlignment="1">
      <alignment vertical="center"/>
    </xf>
    <xf numFmtId="38" fontId="17" fillId="0" borderId="0" xfId="1426" applyFont="1" applyAlignment="1">
      <alignment horizontal="center" vertical="center"/>
    </xf>
    <xf numFmtId="10" fontId="12" fillId="0" borderId="0" xfId="1424" applyNumberFormat="1" applyFont="1" applyFill="1" applyBorder="1" applyAlignment="1">
      <alignment vertical="center"/>
    </xf>
    <xf numFmtId="38" fontId="113" fillId="0" borderId="0" xfId="1426" applyFont="1" applyAlignment="1">
      <alignment vertical="center"/>
    </xf>
    <xf numFmtId="38" fontId="92" fillId="0" borderId="0" xfId="1426" applyFont="1" applyAlignment="1">
      <alignment vertical="center"/>
    </xf>
    <xf numFmtId="38" fontId="12" fillId="0" borderId="0" xfId="1426" quotePrefix="1" applyFont="1" applyAlignment="1">
      <alignment horizontal="right" vertical="center"/>
    </xf>
    <xf numFmtId="5" fontId="12" fillId="0" borderId="0" xfId="358" applyNumberFormat="1" applyFont="1" applyFill="1" applyBorder="1" applyAlignment="1">
      <alignment vertical="center"/>
    </xf>
    <xf numFmtId="5" fontId="12" fillId="0" borderId="1" xfId="358" applyNumberFormat="1" applyFont="1" applyFill="1" applyBorder="1" applyAlignment="1">
      <alignment vertical="center"/>
    </xf>
    <xf numFmtId="5" fontId="12" fillId="0" borderId="0" xfId="358" applyNumberFormat="1" applyFont="1" applyFill="1" applyAlignment="1">
      <alignment vertical="center"/>
    </xf>
    <xf numFmtId="196" fontId="12" fillId="0" borderId="0" xfId="1426" applyNumberFormat="1" applyFont="1" applyAlignment="1">
      <alignment vertical="center"/>
    </xf>
    <xf numFmtId="5" fontId="18" fillId="0" borderId="0" xfId="1426" applyNumberFormat="1" applyFont="1" applyAlignment="1">
      <alignment vertical="center"/>
    </xf>
    <xf numFmtId="5" fontId="12" fillId="0" borderId="0" xfId="1426" applyNumberFormat="1" applyFont="1" applyAlignment="1">
      <alignment horizontal="center" vertical="center"/>
    </xf>
    <xf numFmtId="10" fontId="12" fillId="0" borderId="0" xfId="1424" applyNumberFormat="1" applyFont="1" applyFill="1" applyBorder="1" applyAlignment="1">
      <alignment horizontal="center" vertical="center"/>
    </xf>
    <xf numFmtId="10" fontId="12" fillId="0" borderId="0" xfId="3" applyNumberFormat="1" applyFont="1" applyAlignment="1">
      <alignment vertical="center"/>
    </xf>
    <xf numFmtId="38" fontId="112" fillId="0" borderId="0" xfId="1426" applyFont="1" applyAlignment="1">
      <alignment vertical="center"/>
    </xf>
    <xf numFmtId="38" fontId="12" fillId="0" borderId="1" xfId="1426" applyFont="1" applyBorder="1" applyAlignment="1">
      <alignment horizontal="center" vertical="center"/>
    </xf>
    <xf numFmtId="38" fontId="17" fillId="0" borderId="0" xfId="1426" applyFont="1" applyAlignment="1">
      <alignment vertical="center"/>
    </xf>
    <xf numFmtId="37" fontId="12" fillId="0" borderId="0" xfId="1426" applyNumberFormat="1" applyFont="1" applyAlignment="1">
      <alignment horizontal="center" vertical="center"/>
    </xf>
    <xf numFmtId="5" fontId="12" fillId="0" borderId="0" xfId="1426" applyNumberFormat="1" applyFont="1" applyAlignment="1">
      <alignment horizontal="right" vertical="center"/>
    </xf>
    <xf numFmtId="37" fontId="12" fillId="0" borderId="1" xfId="1426" applyNumberFormat="1" applyFont="1" applyBorder="1" applyAlignment="1">
      <alignment horizontal="right" vertical="center"/>
    </xf>
    <xf numFmtId="5" fontId="12" fillId="0" borderId="0" xfId="1426" quotePrefix="1" applyNumberFormat="1" applyFont="1" applyAlignment="1">
      <alignment vertical="center"/>
    </xf>
    <xf numFmtId="5" fontId="12" fillId="0" borderId="0" xfId="1426" applyNumberFormat="1" applyFont="1" applyAlignment="1">
      <alignment horizontal="centerContinuous" vertical="center"/>
    </xf>
    <xf numFmtId="5" fontId="12" fillId="0" borderId="19" xfId="1426" applyNumberFormat="1" applyFont="1" applyBorder="1" applyAlignment="1">
      <alignment vertical="center"/>
    </xf>
    <xf numFmtId="10" fontId="12" fillId="0" borderId="0" xfId="1426" applyNumberFormat="1" applyFont="1" applyAlignment="1">
      <alignment horizontal="right" vertical="center"/>
    </xf>
    <xf numFmtId="10" fontId="12" fillId="0" borderId="0" xfId="1426" applyNumberFormat="1" applyFont="1" applyAlignment="1">
      <alignment vertical="center"/>
    </xf>
    <xf numFmtId="10" fontId="12" fillId="0" borderId="19" xfId="1426" applyNumberFormat="1" applyFont="1" applyBorder="1" applyAlignment="1">
      <alignment horizontal="right" vertical="center"/>
    </xf>
    <xf numFmtId="9" fontId="12" fillId="0" borderId="0" xfId="1426" applyNumberFormat="1" applyFont="1" applyAlignment="1">
      <alignment vertical="center"/>
    </xf>
    <xf numFmtId="10" fontId="12" fillId="0" borderId="0" xfId="1427" applyNumberFormat="1" applyFont="1" applyBorder="1" applyAlignment="1">
      <alignment vertical="center"/>
    </xf>
    <xf numFmtId="10" fontId="12" fillId="0" borderId="0" xfId="1427" applyNumberFormat="1" applyFont="1" applyAlignment="1">
      <alignment vertical="center"/>
    </xf>
    <xf numFmtId="3" fontId="12" fillId="0" borderId="0" xfId="1426" applyNumberFormat="1" applyFont="1"/>
    <xf numFmtId="38" fontId="108" fillId="0" borderId="0" xfId="1428" applyFont="1" applyAlignment="1">
      <alignment vertical="center"/>
    </xf>
    <xf numFmtId="38" fontId="108" fillId="0" borderId="0" xfId="1428" quotePrefix="1" applyFont="1" applyAlignment="1">
      <alignment horizontal="center" vertical="center"/>
    </xf>
    <xf numFmtId="38" fontId="108" fillId="0" borderId="0" xfId="1428" applyFont="1" applyAlignment="1">
      <alignment horizontal="center" vertical="center"/>
    </xf>
    <xf numFmtId="38" fontId="12" fillId="0" borderId="0" xfId="1428" applyFont="1" applyAlignment="1">
      <alignment vertical="center"/>
    </xf>
    <xf numFmtId="38" fontId="108" fillId="0" borderId="0" xfId="1428" applyFont="1" applyAlignment="1">
      <alignment horizontal="right" vertical="center"/>
    </xf>
    <xf numFmtId="0" fontId="108" fillId="0" borderId="1" xfId="1428" applyNumberFormat="1" applyFont="1" applyBorder="1" applyAlignment="1">
      <alignment horizontal="center" vertical="center"/>
    </xf>
    <xf numFmtId="38" fontId="108" fillId="0" borderId="1" xfId="1428" applyFont="1" applyBorder="1" applyAlignment="1">
      <alignment vertical="center"/>
    </xf>
    <xf numFmtId="38" fontId="12" fillId="0" borderId="1" xfId="1428" applyFont="1" applyBorder="1" applyAlignment="1">
      <alignment vertical="center"/>
    </xf>
    <xf numFmtId="0" fontId="108" fillId="0" borderId="1" xfId="1428" quotePrefix="1" applyNumberFormat="1" applyFont="1" applyBorder="1" applyAlignment="1">
      <alignment horizontal="center" vertical="center"/>
    </xf>
    <xf numFmtId="38" fontId="103" fillId="0" borderId="0" xfId="1428" applyFont="1" applyAlignment="1">
      <alignment vertical="center"/>
    </xf>
    <xf numFmtId="38" fontId="103" fillId="0" borderId="0" xfId="1428" applyFont="1" applyAlignment="1">
      <alignment horizontal="right" vertical="center"/>
    </xf>
    <xf numFmtId="0" fontId="12" fillId="0" borderId="0" xfId="1429" applyFont="1" applyAlignment="1">
      <alignment vertical="center"/>
    </xf>
    <xf numFmtId="0" fontId="12" fillId="0" borderId="0" xfId="1429" applyFont="1" applyAlignment="1">
      <alignment horizontal="right" vertical="center"/>
    </xf>
    <xf numFmtId="0" fontId="12" fillId="0" borderId="0" xfId="1429" applyFont="1" applyAlignment="1">
      <alignment horizontal="centerContinuous" vertical="center"/>
    </xf>
    <xf numFmtId="0" fontId="12" fillId="0" borderId="0" xfId="1429" quotePrefix="1" applyFont="1" applyAlignment="1">
      <alignment horizontal="center" vertical="center"/>
    </xf>
    <xf numFmtId="0" fontId="12" fillId="0" borderId="0" xfId="1429" applyFont="1" applyAlignment="1">
      <alignment horizontal="left" vertical="center"/>
    </xf>
    <xf numFmtId="0" fontId="12" fillId="0" borderId="0" xfId="1429" applyFont="1" applyAlignment="1">
      <alignment horizontal="center" vertical="center"/>
    </xf>
    <xf numFmtId="5" fontId="12" fillId="0" borderId="0" xfId="1429" applyNumberFormat="1" applyFont="1" applyAlignment="1">
      <alignment vertical="center"/>
    </xf>
    <xf numFmtId="0" fontId="12" fillId="0" borderId="0" xfId="1429" quotePrefix="1" applyFont="1" applyAlignment="1">
      <alignment horizontal="centerContinuous" vertical="center"/>
    </xf>
    <xf numFmtId="0" fontId="12" fillId="0" borderId="1" xfId="1429" applyFont="1" applyBorder="1" applyAlignment="1">
      <alignment horizontal="center" vertical="center"/>
    </xf>
    <xf numFmtId="164" fontId="12" fillId="0" borderId="0" xfId="1429" applyNumberFormat="1" applyFont="1" applyAlignment="1">
      <alignment vertical="center"/>
    </xf>
    <xf numFmtId="0" fontId="17" fillId="0" borderId="0" xfId="1429" applyFont="1" applyAlignment="1">
      <alignment horizontal="center" vertical="center"/>
    </xf>
    <xf numFmtId="0" fontId="117" fillId="0" borderId="0" xfId="1429" applyFont="1" applyAlignment="1">
      <alignment vertical="center"/>
    </xf>
    <xf numFmtId="0" fontId="108" fillId="0" borderId="0" xfId="1429" applyFont="1" applyAlignment="1">
      <alignment vertical="center"/>
    </xf>
    <xf numFmtId="37" fontId="12" fillId="0" borderId="0" xfId="1429" applyNumberFormat="1" applyFont="1" applyAlignment="1">
      <alignment horizontal="right" vertical="center"/>
    </xf>
    <xf numFmtId="0" fontId="12" fillId="0" borderId="0" xfId="1425" applyFont="1" applyAlignment="1">
      <alignment vertical="center"/>
    </xf>
    <xf numFmtId="0" fontId="12" fillId="0" borderId="0" xfId="1425" quotePrefix="1" applyFont="1" applyAlignment="1">
      <alignment horizontal="right" vertical="center"/>
    </xf>
    <xf numFmtId="0" fontId="12" fillId="0" borderId="0" xfId="1425" applyFont="1" applyAlignment="1">
      <alignment horizontal="centerContinuous" vertical="center"/>
    </xf>
    <xf numFmtId="0" fontId="12" fillId="0" borderId="0" xfId="1425" quotePrefix="1" applyFont="1" applyAlignment="1">
      <alignment horizontal="centerContinuous" vertical="center"/>
    </xf>
    <xf numFmtId="0" fontId="12" fillId="0" borderId="1" xfId="1425" applyFont="1" applyBorder="1" applyAlignment="1">
      <alignment horizontal="center" vertical="center" wrapText="1"/>
    </xf>
    <xf numFmtId="0" fontId="12" fillId="0" borderId="0" xfId="1425" applyFont="1" applyAlignment="1">
      <alignment horizontal="center" vertical="center"/>
    </xf>
    <xf numFmtId="0" fontId="12" fillId="0" borderId="0" xfId="1425" quotePrefix="1" applyFont="1" applyAlignment="1">
      <alignment horizontal="centerContinuous" vertical="center" wrapText="1"/>
    </xf>
    <xf numFmtId="0" fontId="12" fillId="0" borderId="0" xfId="1425" applyFont="1" applyAlignment="1">
      <alignment horizontal="center" vertical="center" wrapText="1"/>
    </xf>
    <xf numFmtId="0" fontId="12" fillId="0" borderId="1" xfId="1425" applyFont="1" applyBorder="1" applyAlignment="1">
      <alignment horizontal="center" vertical="center"/>
    </xf>
    <xf numFmtId="5" fontId="12" fillId="0" borderId="0" xfId="1425" applyNumberFormat="1" applyFont="1" applyAlignment="1">
      <alignment vertical="center"/>
    </xf>
    <xf numFmtId="6" fontId="12" fillId="0" borderId="0" xfId="1425" applyNumberFormat="1" applyFont="1" applyAlignment="1">
      <alignment vertical="center"/>
    </xf>
    <xf numFmtId="5" fontId="12" fillId="0" borderId="0" xfId="1425" applyNumberFormat="1" applyFont="1" applyAlignment="1">
      <alignment horizontal="left" vertical="center"/>
    </xf>
    <xf numFmtId="37" fontId="12" fillId="0" borderId="0" xfId="1425" applyNumberFormat="1" applyFont="1" applyAlignment="1">
      <alignment vertical="center"/>
    </xf>
    <xf numFmtId="37" fontId="12" fillId="0" borderId="1" xfId="1425" applyNumberFormat="1" applyFont="1" applyBorder="1" applyAlignment="1">
      <alignment vertical="center"/>
    </xf>
    <xf numFmtId="5" fontId="12" fillId="0" borderId="24" xfId="1425" applyNumberFormat="1" applyFont="1" applyBorder="1" applyAlignment="1">
      <alignment vertical="center"/>
    </xf>
    <xf numFmtId="0" fontId="17" fillId="0" borderId="0" xfId="1425" applyFont="1" applyAlignment="1">
      <alignment horizontal="center" vertical="center"/>
    </xf>
    <xf numFmtId="5" fontId="92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left"/>
    </xf>
    <xf numFmtId="0" fontId="12" fillId="0" borderId="50" xfId="0" applyFont="1" applyBorder="1" applyAlignment="1">
      <alignment vertical="center"/>
    </xf>
    <xf numFmtId="37" fontId="12" fillId="0" borderId="1" xfId="0" applyNumberFormat="1" applyFont="1" applyBorder="1" applyAlignment="1">
      <alignment horizontal="right" vertical="center"/>
    </xf>
    <xf numFmtId="37" fontId="12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2" fillId="0" borderId="0" xfId="1430" applyFont="1" applyAlignment="1">
      <alignment horizontal="right" vertical="center"/>
    </xf>
    <xf numFmtId="182" fontId="12" fillId="0" borderId="0" xfId="1" applyNumberFormat="1" applyFont="1" applyFill="1" applyAlignment="1">
      <alignment vertical="center"/>
    </xf>
    <xf numFmtId="182" fontId="12" fillId="0" borderId="0" xfId="1" applyNumberFormat="1" applyFont="1" applyAlignment="1">
      <alignment vertical="center"/>
    </xf>
    <xf numFmtId="5" fontId="92" fillId="0" borderId="0" xfId="1426" applyNumberFormat="1" applyFont="1" applyAlignment="1">
      <alignment horizontal="left" vertical="center"/>
    </xf>
    <xf numFmtId="38" fontId="92" fillId="0" borderId="0" xfId="1426" applyFont="1" applyAlignment="1">
      <alignment horizontal="left" vertical="center"/>
    </xf>
    <xf numFmtId="38" fontId="12" fillId="0" borderId="1" xfId="1426" applyFont="1" applyBorder="1" applyAlignment="1">
      <alignment horizontal="center" wrapText="1"/>
    </xf>
    <xf numFmtId="38" fontId="12" fillId="0" borderId="0" xfId="1426" applyFont="1" applyAlignment="1">
      <alignment horizontal="center" wrapText="1"/>
    </xf>
    <xf numFmtId="38" fontId="12" fillId="0" borderId="50" xfId="1426" applyFont="1" applyBorder="1" applyAlignment="1">
      <alignment horizontal="center" vertical="center"/>
    </xf>
    <xf numFmtId="37" fontId="18" fillId="0" borderId="0" xfId="1426" applyNumberFormat="1" applyFont="1" applyAlignment="1">
      <alignment horizontal="right" vertical="center"/>
    </xf>
    <xf numFmtId="37" fontId="18" fillId="0" borderId="0" xfId="0" applyNumberFormat="1" applyFont="1" applyAlignment="1">
      <alignment horizontal="right" vertical="center"/>
    </xf>
    <xf numFmtId="9" fontId="12" fillId="0" borderId="0" xfId="1424" applyFont="1" applyFill="1" applyAlignment="1">
      <alignment vertical="center"/>
    </xf>
    <xf numFmtId="38" fontId="12" fillId="0" borderId="0" xfId="0" applyNumberFormat="1" applyFont="1" applyAlignment="1">
      <alignment vertical="center"/>
    </xf>
    <xf numFmtId="37" fontId="12" fillId="0" borderId="0" xfId="1426" quotePrefix="1" applyNumberFormat="1" applyFont="1" applyAlignment="1">
      <alignment horizontal="right" vertical="center"/>
    </xf>
    <xf numFmtId="5" fontId="12" fillId="0" borderId="24" xfId="1426" applyNumberFormat="1" applyFont="1" applyBorder="1" applyAlignment="1">
      <alignment horizontal="right" vertical="center"/>
    </xf>
    <xf numFmtId="38" fontId="17" fillId="0" borderId="0" xfId="1426" applyFont="1" applyAlignment="1">
      <alignment horizontal="centerContinuous" vertical="center"/>
    </xf>
    <xf numFmtId="49" fontId="12" fillId="0" borderId="0" xfId="1426" applyNumberFormat="1" applyFont="1" applyAlignment="1">
      <alignment horizontal="center" vertical="center"/>
    </xf>
    <xf numFmtId="37" fontId="17" fillId="0" borderId="0" xfId="1426" applyNumberFormat="1" applyFont="1" applyAlignment="1">
      <alignment horizontal="center" vertical="center"/>
    </xf>
    <xf numFmtId="38" fontId="113" fillId="0" borderId="0" xfId="1426" applyFont="1" applyAlignment="1">
      <alignment horizontal="left" vertical="center"/>
    </xf>
    <xf numFmtId="38" fontId="103" fillId="0" borderId="0" xfId="1426" applyFont="1" applyAlignment="1">
      <alignment vertical="center"/>
    </xf>
    <xf numFmtId="37" fontId="12" fillId="0" borderId="1" xfId="0" applyNumberFormat="1" applyFont="1" applyBorder="1" applyAlignment="1">
      <alignment horizontal="center" wrapText="1"/>
    </xf>
    <xf numFmtId="37" fontId="12" fillId="0" borderId="0" xfId="0" quotePrefix="1" applyNumberFormat="1" applyFont="1" applyAlignment="1">
      <alignment horizontal="right" vertical="center"/>
    </xf>
    <xf numFmtId="37" fontId="12" fillId="0" borderId="0" xfId="0" quotePrefix="1" applyNumberFormat="1" applyFont="1" applyAlignment="1">
      <alignment horizontal="centerContinuous" vertical="center"/>
    </xf>
    <xf numFmtId="37" fontId="12" fillId="0" borderId="0" xfId="0" applyNumberFormat="1" applyFont="1" applyAlignment="1">
      <alignment horizontal="centerContinuous" vertical="center"/>
    </xf>
    <xf numFmtId="197" fontId="12" fillId="0" borderId="0" xfId="0" applyNumberFormat="1" applyFont="1" applyAlignment="1">
      <alignment horizontal="centerContinuous" vertical="center"/>
    </xf>
    <xf numFmtId="37" fontId="12" fillId="0" borderId="0" xfId="0" quotePrefix="1" applyNumberFormat="1" applyFont="1" applyAlignment="1">
      <alignment horizontal="center" vertical="center"/>
    </xf>
    <xf numFmtId="37" fontId="12" fillId="0" borderId="0" xfId="0" applyNumberFormat="1" applyFont="1" applyAlignment="1">
      <alignment horizontal="center" vertical="center" wrapText="1"/>
    </xf>
    <xf numFmtId="37" fontId="12" fillId="0" borderId="1" xfId="0" applyNumberFormat="1" applyFont="1" applyBorder="1" applyAlignment="1">
      <alignment horizontal="center" vertical="center" wrapText="1"/>
    </xf>
    <xf numFmtId="37" fontId="17" fillId="0" borderId="0" xfId="0" quotePrefix="1" applyNumberFormat="1" applyFont="1" applyAlignment="1">
      <alignment horizontal="center" vertical="center"/>
    </xf>
    <xf numFmtId="37" fontId="17" fillId="0" borderId="0" xfId="0" applyNumberFormat="1" applyFont="1" applyAlignment="1">
      <alignment horizontal="center" vertical="center"/>
    </xf>
    <xf numFmtId="0" fontId="17" fillId="0" borderId="0" xfId="1430" applyFont="1" applyAlignment="1">
      <alignment horizontal="right" vertical="center"/>
    </xf>
    <xf numFmtId="37" fontId="12" fillId="0" borderId="1" xfId="1426" applyNumberFormat="1" applyFont="1" applyBorder="1" applyAlignment="1">
      <alignment horizontal="center" wrapText="1"/>
    </xf>
    <xf numFmtId="37" fontId="12" fillId="0" borderId="0" xfId="1426" applyNumberFormat="1" applyFont="1" applyAlignment="1">
      <alignment horizontal="center" wrapText="1"/>
    </xf>
    <xf numFmtId="37" fontId="17" fillId="0" borderId="0" xfId="1426" quotePrefix="1" applyNumberFormat="1" applyFont="1" applyAlignment="1">
      <alignment horizontal="center" vertical="center"/>
    </xf>
    <xf numFmtId="37" fontId="12" fillId="0" borderId="0" xfId="1426" applyNumberFormat="1" applyFont="1" applyAlignment="1">
      <alignment horizontal="centerContinuous" vertical="center"/>
    </xf>
    <xf numFmtId="37" fontId="12" fillId="0" borderId="0" xfId="1426" quotePrefix="1" applyNumberFormat="1" applyFont="1" applyAlignment="1">
      <alignment horizontal="centerContinuous" vertical="center"/>
    </xf>
    <xf numFmtId="0" fontId="12" fillId="0" borderId="0" xfId="1430" applyFont="1" applyAlignment="1">
      <alignment vertical="center"/>
    </xf>
    <xf numFmtId="0" fontId="12" fillId="0" borderId="0" xfId="1430" applyFont="1" applyAlignment="1">
      <alignment horizontal="center" vertical="center"/>
    </xf>
    <xf numFmtId="0" fontId="12" fillId="0" borderId="0" xfId="1430" quotePrefix="1" applyFont="1" applyAlignment="1">
      <alignment horizontal="centerContinuous" vertical="center"/>
    </xf>
    <xf numFmtId="0" fontId="12" fillId="0" borderId="0" xfId="1430" applyFont="1" applyAlignment="1">
      <alignment horizontal="centerContinuous" vertical="center"/>
    </xf>
    <xf numFmtId="0" fontId="92" fillId="0" borderId="0" xfId="0" applyFont="1" applyAlignment="1">
      <alignment horizontal="left" vertical="center"/>
    </xf>
    <xf numFmtId="0" fontId="12" fillId="0" borderId="1" xfId="1430" applyFont="1" applyBorder="1" applyAlignment="1">
      <alignment horizontal="center" vertical="center" wrapText="1"/>
    </xf>
    <xf numFmtId="0" fontId="12" fillId="0" borderId="1" xfId="1430" applyFont="1" applyBorder="1" applyAlignment="1">
      <alignment horizontal="center"/>
    </xf>
    <xf numFmtId="0" fontId="12" fillId="0" borderId="1" xfId="1430" applyFont="1" applyBorder="1" applyAlignment="1">
      <alignment horizontal="center" wrapText="1"/>
    </xf>
    <xf numFmtId="0" fontId="12" fillId="0" borderId="1" xfId="1430" applyFont="1" applyBorder="1"/>
    <xf numFmtId="37" fontId="116" fillId="0" borderId="0" xfId="0" applyNumberFormat="1" applyFont="1" applyAlignment="1">
      <alignment horizontal="left" vertical="center"/>
    </xf>
    <xf numFmtId="0" fontId="12" fillId="0" borderId="0" xfId="1430" applyFont="1" applyAlignment="1">
      <alignment vertical="center" wrapText="1"/>
    </xf>
    <xf numFmtId="179" fontId="12" fillId="0" borderId="0" xfId="1424" applyNumberFormat="1" applyFont="1" applyFill="1" applyBorder="1" applyAlignment="1">
      <alignment horizontal="right" vertical="center"/>
    </xf>
    <xf numFmtId="0" fontId="12" fillId="0" borderId="0" xfId="1430" applyFont="1" applyAlignment="1">
      <alignment horizontal="center" vertical="center" wrapText="1"/>
    </xf>
    <xf numFmtId="5" fontId="12" fillId="0" borderId="3" xfId="0" applyNumberFormat="1" applyFont="1" applyBorder="1" applyAlignment="1">
      <alignment horizontal="right" vertical="center"/>
    </xf>
    <xf numFmtId="37" fontId="12" fillId="0" borderId="0" xfId="1430" applyNumberFormat="1" applyFont="1" applyAlignment="1">
      <alignment vertical="center"/>
    </xf>
    <xf numFmtId="40" fontId="18" fillId="0" borderId="0" xfId="1427" applyFont="1" applyBorder="1" applyAlignment="1">
      <alignment vertical="center"/>
    </xf>
    <xf numFmtId="0" fontId="12" fillId="0" borderId="0" xfId="1430" applyFont="1" applyAlignment="1">
      <alignment horizontal="left" vertical="center" wrapText="1"/>
    </xf>
    <xf numFmtId="0" fontId="17" fillId="0" borderId="0" xfId="1430" applyFont="1" applyAlignment="1">
      <alignment vertical="center"/>
    </xf>
    <xf numFmtId="179" fontId="18" fillId="0" borderId="0" xfId="1430" applyNumberFormat="1" applyFont="1" applyAlignment="1">
      <alignment vertical="center"/>
    </xf>
    <xf numFmtId="37" fontId="17" fillId="0" borderId="0" xfId="0" applyNumberFormat="1" applyFont="1" applyAlignment="1">
      <alignment vertical="center"/>
    </xf>
    <xf numFmtId="0" fontId="17" fillId="0" borderId="0" xfId="1430" applyFont="1" applyAlignment="1">
      <alignment horizontal="center" vertical="center"/>
    </xf>
    <xf numFmtId="5" fontId="12" fillId="0" borderId="24" xfId="1430" applyNumberFormat="1" applyFont="1" applyBorder="1" applyAlignment="1">
      <alignment vertical="center"/>
    </xf>
    <xf numFmtId="10" fontId="12" fillId="0" borderId="0" xfId="1424" applyNumberFormat="1" applyFont="1" applyBorder="1" applyAlignment="1">
      <alignment vertical="center"/>
    </xf>
    <xf numFmtId="9" fontId="18" fillId="0" borderId="0" xfId="1430" applyNumberFormat="1" applyFont="1" applyAlignment="1">
      <alignment vertical="center"/>
    </xf>
    <xf numFmtId="0" fontId="113" fillId="0" borderId="0" xfId="0" applyFont="1" applyAlignment="1">
      <alignment horizontal="left" vertical="center"/>
    </xf>
    <xf numFmtId="5" fontId="12" fillId="0" borderId="0" xfId="1430" applyNumberFormat="1" applyFont="1" applyAlignment="1">
      <alignment horizontal="right" vertical="center"/>
    </xf>
    <xf numFmtId="0" fontId="12" fillId="0" borderId="1" xfId="0" quotePrefix="1" applyFont="1" applyBorder="1" applyAlignment="1">
      <alignment horizontal="center" vertical="center" wrapText="1"/>
    </xf>
    <xf numFmtId="5" fontId="16" fillId="0" borderId="0" xfId="0" applyNumberFormat="1" applyFont="1" applyAlignment="1">
      <alignment horizontal="right" vertical="center"/>
    </xf>
    <xf numFmtId="0" fontId="12" fillId="0" borderId="0" xfId="0" quotePrefix="1" applyFont="1" applyAlignment="1">
      <alignment horizontal="left" vertical="center"/>
    </xf>
    <xf numFmtId="37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center"/>
    </xf>
    <xf numFmtId="38" fontId="16" fillId="0" borderId="0" xfId="0" applyNumberFormat="1" applyFont="1" applyAlignment="1">
      <alignment vertical="center"/>
    </xf>
    <xf numFmtId="38" fontId="12" fillId="0" borderId="0" xfId="0" applyNumberFormat="1" applyFont="1" applyAlignment="1">
      <alignment horizontal="right" vertical="center"/>
    </xf>
    <xf numFmtId="37" fontId="16" fillId="0" borderId="1" xfId="0" applyNumberFormat="1" applyFont="1" applyBorder="1" applyAlignment="1">
      <alignment horizontal="right" vertical="center"/>
    </xf>
    <xf numFmtId="5" fontId="12" fillId="0" borderId="24" xfId="0" applyNumberFormat="1" applyFont="1" applyBorder="1" applyAlignment="1">
      <alignment vertical="center"/>
    </xf>
    <xf numFmtId="0" fontId="17" fillId="0" borderId="0" xfId="0" applyFont="1" applyAlignment="1">
      <alignment horizontal="centerContinuous" vertical="center"/>
    </xf>
    <xf numFmtId="0" fontId="17" fillId="0" borderId="0" xfId="0" quotePrefix="1" applyFont="1" applyAlignment="1">
      <alignment horizontal="center" vertical="center"/>
    </xf>
    <xf numFmtId="0" fontId="12" fillId="0" borderId="0" xfId="0" quotePrefix="1" applyFont="1" applyAlignment="1">
      <alignment horizontal="centerContinuous" vertical="center"/>
    </xf>
    <xf numFmtId="43" fontId="12" fillId="0" borderId="0" xfId="1" applyFont="1" applyAlignment="1">
      <alignment vertical="center"/>
    </xf>
    <xf numFmtId="168" fontId="12" fillId="0" borderId="0" xfId="1" applyNumberFormat="1" applyFont="1" applyAlignment="1">
      <alignment vertical="center"/>
    </xf>
    <xf numFmtId="182" fontId="12" fillId="0" borderId="0" xfId="1" applyNumberFormat="1" applyFont="1" applyAlignment="1">
      <alignment horizontal="center" vertical="center"/>
    </xf>
    <xf numFmtId="43" fontId="12" fillId="0" borderId="0" xfId="1" applyFont="1" applyAlignment="1">
      <alignment horizontal="center" vertical="center"/>
    </xf>
    <xf numFmtId="168" fontId="12" fillId="0" borderId="0" xfId="1" applyNumberFormat="1" applyFont="1" applyAlignment="1">
      <alignment horizontal="center" vertical="center"/>
    </xf>
    <xf numFmtId="39" fontId="12" fillId="0" borderId="0" xfId="1428" applyNumberFormat="1" applyFont="1" applyAlignment="1">
      <alignment horizontal="center" wrapText="1"/>
    </xf>
    <xf numFmtId="39" fontId="12" fillId="0" borderId="1" xfId="1428" applyNumberFormat="1" applyFont="1" applyBorder="1" applyAlignment="1">
      <alignment horizontal="center" wrapText="1"/>
    </xf>
    <xf numFmtId="182" fontId="12" fillId="0" borderId="1" xfId="1" applyNumberFormat="1" applyFont="1" applyBorder="1" applyAlignment="1">
      <alignment horizontal="center" vertical="center"/>
    </xf>
    <xf numFmtId="43" fontId="12" fillId="0" borderId="1" xfId="1" applyFont="1" applyBorder="1" applyAlignment="1">
      <alignment horizontal="center" vertical="center"/>
    </xf>
    <xf numFmtId="168" fontId="12" fillId="0" borderId="1" xfId="1" applyNumberFormat="1" applyFont="1" applyBorder="1" applyAlignment="1">
      <alignment horizontal="center" vertical="center"/>
    </xf>
    <xf numFmtId="39" fontId="12" fillId="0" borderId="0" xfId="1428" applyNumberFormat="1" applyFont="1" applyAlignment="1">
      <alignment vertical="center"/>
    </xf>
    <xf numFmtId="37" fontId="12" fillId="0" borderId="0" xfId="1428" applyNumberFormat="1" applyFont="1" applyAlignment="1">
      <alignment horizontal="center" vertical="center"/>
    </xf>
    <xf numFmtId="0" fontId="103" fillId="0" borderId="0" xfId="0" applyFont="1" applyAlignment="1">
      <alignment horizontal="center" vertical="center"/>
    </xf>
    <xf numFmtId="5" fontId="12" fillId="0" borderId="0" xfId="2" applyNumberFormat="1" applyFont="1" applyAlignment="1">
      <alignment vertical="center"/>
    </xf>
    <xf numFmtId="186" fontId="12" fillId="0" borderId="0" xfId="2" applyNumberFormat="1" applyFont="1" applyAlignment="1">
      <alignment vertical="center"/>
    </xf>
    <xf numFmtId="43" fontId="12" fillId="0" borderId="0" xfId="0" applyNumberFormat="1" applyFont="1" applyAlignment="1">
      <alignment vertical="center"/>
    </xf>
    <xf numFmtId="43" fontId="12" fillId="0" borderId="0" xfId="1" applyFont="1" applyFill="1" applyAlignment="1">
      <alignment vertical="center"/>
    </xf>
    <xf numFmtId="168" fontId="12" fillId="0" borderId="0" xfId="1" applyNumberFormat="1" applyFont="1" applyFill="1" applyAlignment="1">
      <alignment vertical="center"/>
    </xf>
    <xf numFmtId="182" fontId="103" fillId="0" borderId="0" xfId="1" applyNumberFormat="1" applyFont="1" applyFill="1" applyAlignment="1">
      <alignment horizontal="right" vertical="center"/>
    </xf>
    <xf numFmtId="43" fontId="16" fillId="0" borderId="0" xfId="1" applyFont="1" applyFill="1" applyAlignment="1">
      <alignment vertical="center"/>
    </xf>
    <xf numFmtId="43" fontId="103" fillId="0" borderId="0" xfId="1" applyFont="1" applyFill="1" applyAlignment="1">
      <alignment horizontal="right" vertical="center"/>
    </xf>
    <xf numFmtId="182" fontId="12" fillId="0" borderId="0" xfId="0" applyNumberFormat="1" applyFont="1"/>
    <xf numFmtId="38" fontId="12" fillId="0" borderId="0" xfId="1428" quotePrefix="1" applyFont="1" applyAlignment="1">
      <alignment horizontal="left" vertical="center"/>
    </xf>
    <xf numFmtId="43" fontId="18" fillId="0" borderId="0" xfId="1" applyFont="1" applyFill="1" applyAlignment="1">
      <alignment vertical="center"/>
    </xf>
    <xf numFmtId="182" fontId="12" fillId="0" borderId="1" xfId="1" applyNumberFormat="1" applyFont="1" applyFill="1" applyBorder="1" applyAlignment="1">
      <alignment vertical="center"/>
    </xf>
    <xf numFmtId="43" fontId="12" fillId="0" borderId="0" xfId="1" applyFont="1" applyFill="1" applyAlignment="1">
      <alignment horizontal="right" vertical="center"/>
    </xf>
    <xf numFmtId="5" fontId="12" fillId="0" borderId="24" xfId="2" applyNumberFormat="1" applyFont="1" applyFill="1" applyBorder="1" applyAlignment="1">
      <alignment vertical="center"/>
    </xf>
    <xf numFmtId="186" fontId="12" fillId="0" borderId="0" xfId="2" applyNumberFormat="1" applyFont="1" applyFill="1" applyBorder="1" applyAlignment="1">
      <alignment vertical="center"/>
    </xf>
    <xf numFmtId="186" fontId="16" fillId="0" borderId="0" xfId="2" applyNumberFormat="1" applyFont="1" applyFill="1" applyAlignment="1">
      <alignment vertical="center"/>
    </xf>
    <xf numFmtId="186" fontId="18" fillId="0" borderId="0" xfId="2" applyNumberFormat="1" applyFont="1" applyFill="1" applyAlignment="1">
      <alignment vertical="center"/>
    </xf>
    <xf numFmtId="10" fontId="12" fillId="0" borderId="0" xfId="0" applyNumberFormat="1" applyFont="1" applyAlignment="1">
      <alignment vertical="center"/>
    </xf>
    <xf numFmtId="5" fontId="12" fillId="0" borderId="19" xfId="2" applyNumberFormat="1" applyFont="1" applyFill="1" applyBorder="1" applyAlignment="1">
      <alignment vertical="center"/>
    </xf>
    <xf numFmtId="7" fontId="12" fillId="0" borderId="0" xfId="0" applyNumberFormat="1" applyFont="1"/>
    <xf numFmtId="182" fontId="12" fillId="0" borderId="0" xfId="1" applyNumberFormat="1" applyFont="1"/>
    <xf numFmtId="37" fontId="12" fillId="0" borderId="0" xfId="0" applyNumberFormat="1" applyFont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/>
    </xf>
    <xf numFmtId="5" fontId="18" fillId="0" borderId="0" xfId="0" applyNumberFormat="1" applyFont="1" applyAlignment="1">
      <alignment vertical="center"/>
    </xf>
    <xf numFmtId="198" fontId="12" fillId="0" borderId="0" xfId="0" applyNumberFormat="1" applyFont="1" applyAlignment="1">
      <alignment vertical="center"/>
    </xf>
    <xf numFmtId="37" fontId="18" fillId="0" borderId="0" xfId="0" applyNumberFormat="1" applyFont="1" applyAlignment="1">
      <alignment vertical="center"/>
    </xf>
    <xf numFmtId="37" fontId="12" fillId="0" borderId="1" xfId="0" applyNumberFormat="1" applyFont="1" applyBorder="1" applyAlignment="1">
      <alignment vertical="center"/>
    </xf>
    <xf numFmtId="9" fontId="12" fillId="0" borderId="0" xfId="1424" applyFont="1" applyAlignment="1">
      <alignment vertical="center"/>
    </xf>
    <xf numFmtId="5" fontId="12" fillId="0" borderId="1" xfId="0" applyNumberFormat="1" applyFont="1" applyBorder="1" applyAlignment="1">
      <alignment vertical="center"/>
    </xf>
    <xf numFmtId="198" fontId="103" fillId="0" borderId="0" xfId="0" applyNumberFormat="1" applyFont="1"/>
    <xf numFmtId="198" fontId="12" fillId="0" borderId="0" xfId="0" applyNumberFormat="1" applyFont="1"/>
    <xf numFmtId="198" fontId="0" fillId="0" borderId="0" xfId="0" applyNumberFormat="1"/>
    <xf numFmtId="37" fontId="103" fillId="0" borderId="0" xfId="0" applyNumberFormat="1" applyFont="1" applyAlignment="1">
      <alignment vertical="center"/>
    </xf>
    <xf numFmtId="198" fontId="103" fillId="0" borderId="0" xfId="0" applyNumberFormat="1" applyFont="1" applyAlignment="1">
      <alignment horizontal="right" vertical="center"/>
    </xf>
    <xf numFmtId="198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0" fontId="12" fillId="0" borderId="0" xfId="610" applyFont="1" applyAlignment="1">
      <alignment vertical="center"/>
    </xf>
    <xf numFmtId="0" fontId="12" fillId="0" borderId="0" xfId="610" applyFont="1"/>
    <xf numFmtId="37" fontId="12" fillId="0" borderId="0" xfId="610" applyNumberFormat="1" applyFont="1" applyAlignment="1">
      <alignment vertical="center"/>
    </xf>
    <xf numFmtId="5" fontId="12" fillId="0" borderId="19" xfId="0" applyNumberFormat="1" applyFont="1" applyBorder="1" applyAlignment="1">
      <alignment vertical="center"/>
    </xf>
    <xf numFmtId="0" fontId="116" fillId="0" borderId="0" xfId="0" applyFont="1" applyAlignment="1">
      <alignment horizontal="centerContinuous" vertical="center"/>
    </xf>
    <xf numFmtId="5" fontId="12" fillId="32" borderId="0" xfId="0" applyNumberFormat="1" applyFont="1" applyFill="1" applyAlignment="1">
      <alignment vertical="center"/>
    </xf>
    <xf numFmtId="5" fontId="12" fillId="3" borderId="19" xfId="0" applyNumberFormat="1" applyFont="1" applyFill="1" applyBorder="1" applyAlignment="1">
      <alignment vertical="center"/>
    </xf>
    <xf numFmtId="38" fontId="12" fillId="0" borderId="1" xfId="1426" applyFont="1" applyBorder="1"/>
    <xf numFmtId="38" fontId="12" fillId="0" borderId="1" xfId="1426" applyFont="1" applyBorder="1" applyAlignment="1">
      <alignment horizontal="center"/>
    </xf>
    <xf numFmtId="37" fontId="12" fillId="0" borderId="3" xfId="1426" applyNumberFormat="1" applyFont="1" applyBorder="1" applyAlignment="1">
      <alignment vertical="center"/>
    </xf>
    <xf numFmtId="7" fontId="16" fillId="0" borderId="0" xfId="1426" applyNumberFormat="1" applyFont="1" applyAlignment="1">
      <alignment vertical="center"/>
    </xf>
    <xf numFmtId="7" fontId="16" fillId="0" borderId="0" xfId="1426" applyNumberFormat="1" applyFont="1" applyAlignment="1">
      <alignment horizontal="right" vertical="center"/>
    </xf>
    <xf numFmtId="38" fontId="112" fillId="0" borderId="0" xfId="1426" applyFont="1" applyAlignment="1">
      <alignment horizontal="center" vertical="center"/>
    </xf>
    <xf numFmtId="0" fontId="12" fillId="0" borderId="0" xfId="1431" applyFont="1" applyAlignment="1">
      <alignment horizontal="center" vertical="center"/>
    </xf>
    <xf numFmtId="0" fontId="12" fillId="0" borderId="0" xfId="1431" applyFont="1" applyAlignment="1">
      <alignment vertical="center"/>
    </xf>
    <xf numFmtId="0" fontId="12" fillId="0" borderId="0" xfId="1431" quotePrefix="1" applyFont="1" applyAlignment="1">
      <alignment horizontal="right" vertical="center"/>
    </xf>
    <xf numFmtId="0" fontId="12" fillId="0" borderId="0" xfId="1431" applyFont="1" applyAlignment="1">
      <alignment horizontal="centerContinuous" vertical="center"/>
    </xf>
    <xf numFmtId="0" fontId="12" fillId="0" borderId="0" xfId="1431" applyFont="1" applyAlignment="1">
      <alignment horizontal="right" vertical="center"/>
    </xf>
    <xf numFmtId="0" fontId="12" fillId="0" borderId="0" xfId="1431" applyFont="1" applyAlignment="1">
      <alignment horizontal="left" vertical="center"/>
    </xf>
    <xf numFmtId="0" fontId="12" fillId="0" borderId="0" xfId="1431" quotePrefix="1" applyFont="1" applyAlignment="1">
      <alignment horizontal="center" vertical="center"/>
    </xf>
    <xf numFmtId="0" fontId="12" fillId="0" borderId="0" xfId="1431" quotePrefix="1" applyFont="1" applyAlignment="1">
      <alignment vertical="center"/>
    </xf>
    <xf numFmtId="0" fontId="12" fillId="0" borderId="1" xfId="1431" applyFont="1" applyBorder="1" applyAlignment="1">
      <alignment horizontal="center" vertical="center"/>
    </xf>
    <xf numFmtId="38" fontId="12" fillId="0" borderId="0" xfId="1431" applyNumberFormat="1" applyFont="1" applyAlignment="1">
      <alignment vertical="center"/>
    </xf>
    <xf numFmtId="0" fontId="12" fillId="0" borderId="0" xfId="1431" quotePrefix="1" applyFont="1" applyAlignment="1">
      <alignment horizontal="left" vertical="center"/>
    </xf>
    <xf numFmtId="10" fontId="12" fillId="0" borderId="0" xfId="1431" applyNumberFormat="1" applyFont="1" applyAlignment="1">
      <alignment horizontal="center" vertical="center"/>
    </xf>
    <xf numFmtId="10" fontId="12" fillId="0" borderId="1" xfId="1431" applyNumberFormat="1" applyFont="1" applyBorder="1" applyAlignment="1">
      <alignment horizontal="center" vertical="center"/>
    </xf>
    <xf numFmtId="10" fontId="12" fillId="0" borderId="24" xfId="1431" applyNumberFormat="1" applyFont="1" applyBorder="1" applyAlignment="1">
      <alignment horizontal="center" vertical="center"/>
    </xf>
    <xf numFmtId="199" fontId="12" fillId="0" borderId="24" xfId="1431" applyNumberFormat="1" applyFont="1" applyBorder="1" applyAlignment="1">
      <alignment horizontal="center" vertical="center"/>
    </xf>
    <xf numFmtId="0" fontId="17" fillId="0" borderId="0" xfId="1431" applyFont="1" applyAlignment="1">
      <alignment horizontal="center" vertical="center"/>
    </xf>
    <xf numFmtId="0" fontId="17" fillId="0" borderId="0" xfId="1431" applyFont="1" applyAlignment="1">
      <alignment vertical="center"/>
    </xf>
    <xf numFmtId="0" fontId="17" fillId="0" borderId="0" xfId="1431" quotePrefix="1" applyFont="1" applyAlignment="1">
      <alignment horizontal="center" vertical="center"/>
    </xf>
    <xf numFmtId="0" fontId="17" fillId="0" borderId="0" xfId="1431" applyFont="1" applyAlignment="1">
      <alignment horizontal="centerContinuous" vertical="center"/>
    </xf>
    <xf numFmtId="0" fontId="118" fillId="0" borderId="0" xfId="0" applyFont="1" applyAlignment="1">
      <alignment vertical="center"/>
    </xf>
    <xf numFmtId="0" fontId="103" fillId="0" borderId="0" xfId="0" applyFont="1" applyAlignment="1">
      <alignment vertical="center"/>
    </xf>
    <xf numFmtId="10" fontId="118" fillId="0" borderId="0" xfId="0" applyNumberFormat="1" applyFont="1" applyAlignment="1">
      <alignment vertical="center"/>
    </xf>
    <xf numFmtId="0" fontId="12" fillId="35" borderId="0" xfId="0" applyFont="1" applyFill="1" applyAlignment="1">
      <alignment horizontal="center" vertical="center"/>
    </xf>
    <xf numFmtId="38" fontId="116" fillId="0" borderId="0" xfId="1426" applyFont="1" applyAlignment="1">
      <alignment horizontal="left" vertical="center"/>
    </xf>
    <xf numFmtId="200" fontId="116" fillId="0" borderId="0" xfId="1426" applyNumberFormat="1" applyFont="1" applyAlignment="1">
      <alignment horizontal="center" vertical="center"/>
    </xf>
    <xf numFmtId="5" fontId="12" fillId="35" borderId="0" xfId="1426" applyNumberFormat="1" applyFont="1" applyFill="1" applyAlignment="1">
      <alignment vertical="center"/>
    </xf>
    <xf numFmtId="5" fontId="12" fillId="3" borderId="19" xfId="1426" applyNumberFormat="1" applyFont="1" applyFill="1" applyBorder="1" applyAlignment="1">
      <alignment vertical="center"/>
    </xf>
    <xf numFmtId="37" fontId="103" fillId="0" borderId="0" xfId="0" quotePrefix="1" applyNumberFormat="1" applyFont="1" applyAlignment="1">
      <alignment horizontal="right" vertical="center"/>
    </xf>
    <xf numFmtId="5" fontId="12" fillId="0" borderId="3" xfId="0" applyNumberFormat="1" applyFont="1" applyBorder="1" applyAlignment="1">
      <alignment vertical="center"/>
    </xf>
    <xf numFmtId="10" fontId="12" fillId="0" borderId="3" xfId="0" applyNumberFormat="1" applyFont="1" applyBorder="1" applyAlignment="1">
      <alignment vertical="center"/>
    </xf>
    <xf numFmtId="6" fontId="12" fillId="0" borderId="3" xfId="0" applyNumberFormat="1" applyFont="1" applyBorder="1" applyAlignment="1">
      <alignment vertical="center"/>
    </xf>
    <xf numFmtId="198" fontId="12" fillId="0" borderId="19" xfId="0" applyNumberFormat="1" applyFont="1" applyBorder="1" applyAlignment="1">
      <alignment vertical="center"/>
    </xf>
    <xf numFmtId="10" fontId="12" fillId="0" borderId="19" xfId="1424" applyNumberFormat="1" applyFont="1" applyFill="1" applyBorder="1" applyAlignment="1">
      <alignment vertical="center"/>
    </xf>
    <xf numFmtId="0" fontId="103" fillId="0" borderId="0" xfId="0" quotePrefix="1" applyFont="1" applyAlignment="1">
      <alignment vertical="center"/>
    </xf>
    <xf numFmtId="0" fontId="119" fillId="0" borderId="0" xfId="0" applyFont="1" applyAlignment="1">
      <alignment vertical="center"/>
    </xf>
    <xf numFmtId="0" fontId="92" fillId="0" borderId="0" xfId="0" applyFont="1" applyAlignment="1">
      <alignment horizontal="centerContinuous" vertical="center"/>
    </xf>
    <xf numFmtId="37" fontId="122" fillId="0" borderId="0" xfId="1434" applyFont="1" applyAlignment="1">
      <alignment horizontal="center" vertical="center"/>
    </xf>
    <xf numFmtId="37" fontId="122" fillId="0" borderId="0" xfId="1434" applyFont="1" applyAlignment="1">
      <alignment vertical="center"/>
    </xf>
    <xf numFmtId="37" fontId="10" fillId="0" borderId="0" xfId="1434" applyFont="1" applyAlignment="1">
      <alignment vertical="center"/>
    </xf>
    <xf numFmtId="37" fontId="12" fillId="0" borderId="0" xfId="1434" quotePrefix="1" applyFont="1" applyAlignment="1">
      <alignment horizontal="right" vertical="center"/>
    </xf>
    <xf numFmtId="3" fontId="10" fillId="0" borderId="0" xfId="1434" applyNumberFormat="1" applyFont="1" applyAlignment="1">
      <alignment vertical="center"/>
    </xf>
    <xf numFmtId="37" fontId="13" fillId="0" borderId="0" xfId="1434" applyFont="1" applyAlignment="1">
      <alignment horizontal="center" vertical="center"/>
    </xf>
    <xf numFmtId="37" fontId="13" fillId="0" borderId="0" xfId="1434" applyFont="1" applyAlignment="1">
      <alignment vertical="center"/>
    </xf>
    <xf numFmtId="37" fontId="12" fillId="0" borderId="0" xfId="1434" applyFont="1" applyAlignment="1">
      <alignment vertical="center"/>
    </xf>
    <xf numFmtId="37" fontId="13" fillId="0" borderId="0" xfId="1434" applyFont="1" applyAlignment="1">
      <alignment horizontal="centerContinuous" vertical="center"/>
    </xf>
    <xf numFmtId="37" fontId="12" fillId="0" borderId="0" xfId="1434" applyFont="1" applyAlignment="1">
      <alignment horizontal="centerContinuous" vertical="center"/>
    </xf>
    <xf numFmtId="37" fontId="12" fillId="0" borderId="0" xfId="1434" applyFont="1" applyAlignment="1">
      <alignment horizontal="right" vertical="center"/>
    </xf>
    <xf numFmtId="37" fontId="12" fillId="0" borderId="0" xfId="1434" quotePrefix="1" applyFont="1" applyAlignment="1">
      <alignment horizontal="centerContinuous" vertical="center"/>
    </xf>
    <xf numFmtId="37" fontId="12" fillId="0" borderId="0" xfId="1434" applyFont="1" applyAlignment="1">
      <alignment horizontal="center" vertical="center"/>
    </xf>
    <xf numFmtId="37" fontId="108" fillId="0" borderId="0" xfId="1434" applyFont="1" applyAlignment="1">
      <alignment vertical="center"/>
    </xf>
    <xf numFmtId="37" fontId="12" fillId="0" borderId="0" xfId="1434" quotePrefix="1" applyFont="1" applyAlignment="1">
      <alignment horizontal="center" vertical="center"/>
    </xf>
    <xf numFmtId="37" fontId="12" fillId="0" borderId="1" xfId="1434" applyFont="1" applyBorder="1" applyAlignment="1">
      <alignment horizontal="center" vertical="center"/>
    </xf>
    <xf numFmtId="37" fontId="12" fillId="0" borderId="1" xfId="1434" applyFont="1" applyBorder="1" applyAlignment="1">
      <alignment vertical="center"/>
    </xf>
    <xf numFmtId="37" fontId="12" fillId="0" borderId="1" xfId="1434" quotePrefix="1" applyFont="1" applyBorder="1" applyAlignment="1">
      <alignment horizontal="center" vertical="center"/>
    </xf>
    <xf numFmtId="5" fontId="12" fillId="0" borderId="1" xfId="1434" applyNumberFormat="1" applyFont="1" applyBorder="1" applyAlignment="1">
      <alignment vertical="center"/>
    </xf>
    <xf numFmtId="5" fontId="12" fillId="0" borderId="0" xfId="1434" applyNumberFormat="1" applyFont="1" applyAlignment="1">
      <alignment vertical="center"/>
    </xf>
    <xf numFmtId="5" fontId="18" fillId="0" borderId="0" xfId="1434" applyNumberFormat="1" applyFont="1" applyAlignment="1">
      <alignment vertical="center"/>
    </xf>
    <xf numFmtId="37" fontId="18" fillId="0" borderId="0" xfId="1434" applyFont="1" applyAlignment="1">
      <alignment vertical="center"/>
    </xf>
    <xf numFmtId="38" fontId="12" fillId="0" borderId="0" xfId="1435" applyFont="1" applyAlignment="1">
      <alignment vertical="center"/>
    </xf>
    <xf numFmtId="39" fontId="12" fillId="0" borderId="0" xfId="1434" applyNumberFormat="1" applyFont="1" applyAlignment="1">
      <alignment vertical="center"/>
    </xf>
    <xf numFmtId="37" fontId="12" fillId="0" borderId="0" xfId="1434" quotePrefix="1" applyFont="1" applyAlignment="1">
      <alignment horizontal="left" vertical="center"/>
    </xf>
    <xf numFmtId="37" fontId="12" fillId="0" borderId="3" xfId="1434" applyFont="1" applyBorder="1" applyAlignment="1">
      <alignment vertical="center"/>
    </xf>
    <xf numFmtId="5" fontId="16" fillId="0" borderId="0" xfId="1434" applyNumberFormat="1" applyFont="1" applyAlignment="1">
      <alignment horizontal="right" vertical="center"/>
    </xf>
    <xf numFmtId="7" fontId="16" fillId="0" borderId="0" xfId="1434" applyNumberFormat="1" applyFont="1" applyAlignment="1">
      <alignment horizontal="right" vertical="center"/>
    </xf>
    <xf numFmtId="10" fontId="16" fillId="0" borderId="0" xfId="1434" applyNumberFormat="1" applyFont="1" applyAlignment="1">
      <alignment vertical="center"/>
    </xf>
    <xf numFmtId="10" fontId="18" fillId="0" borderId="0" xfId="1434" applyNumberFormat="1" applyFont="1" applyAlignment="1">
      <alignment vertical="center"/>
    </xf>
    <xf numFmtId="10" fontId="12" fillId="0" borderId="0" xfId="1434" applyNumberFormat="1" applyFont="1" applyAlignment="1">
      <alignment vertical="center"/>
    </xf>
    <xf numFmtId="37" fontId="12" fillId="0" borderId="0" xfId="1434" quotePrefix="1" applyFont="1" applyAlignment="1">
      <alignment vertical="center"/>
    </xf>
    <xf numFmtId="37" fontId="17" fillId="0" borderId="0" xfId="1434" applyFont="1" applyAlignment="1">
      <alignment horizontal="center" vertical="center"/>
    </xf>
    <xf numFmtId="37" fontId="17" fillId="0" borderId="0" xfId="1434" applyFont="1" applyAlignment="1">
      <alignment vertical="center"/>
    </xf>
    <xf numFmtId="37" fontId="17" fillId="0" borderId="0" xfId="1434" quotePrefix="1" applyFont="1" applyAlignment="1">
      <alignment horizontal="center" vertical="center"/>
    </xf>
    <xf numFmtId="37" fontId="116" fillId="0" borderId="0" xfId="1434" quotePrefix="1" applyFont="1" applyAlignment="1">
      <alignment horizontal="left" vertical="center"/>
    </xf>
    <xf numFmtId="37" fontId="17" fillId="0" borderId="0" xfId="1434" applyFont="1" applyAlignment="1">
      <alignment horizontal="centerContinuous" vertical="center"/>
    </xf>
    <xf numFmtId="37" fontId="116" fillId="0" borderId="0" xfId="1434" applyFont="1" applyAlignment="1">
      <alignment vertical="center"/>
    </xf>
    <xf numFmtId="37" fontId="116" fillId="0" borderId="0" xfId="1434" applyFont="1" applyAlignment="1">
      <alignment horizontal="center" vertical="center"/>
    </xf>
    <xf numFmtId="37" fontId="123" fillId="0" borderId="0" xfId="1434" applyFont="1" applyAlignment="1">
      <alignment vertical="center"/>
    </xf>
    <xf numFmtId="37" fontId="17" fillId="0" borderId="0" xfId="1434" applyFont="1" applyAlignment="1">
      <alignment horizontal="right" vertical="center"/>
    </xf>
    <xf numFmtId="38" fontId="12" fillId="0" borderId="0" xfId="1434" applyNumberFormat="1" applyFont="1" applyAlignment="1">
      <alignment vertical="center"/>
    </xf>
    <xf numFmtId="37" fontId="10" fillId="0" borderId="0" xfId="1434" applyFont="1" applyAlignment="1">
      <alignment horizontal="center" vertical="center"/>
    </xf>
    <xf numFmtId="37" fontId="12" fillId="0" borderId="0" xfId="1434" applyFont="1" applyAlignment="1">
      <alignment horizontal="left" vertical="center"/>
    </xf>
    <xf numFmtId="37" fontId="124" fillId="0" borderId="0" xfId="1434" applyFont="1" applyAlignment="1">
      <alignment horizontal="centerContinuous" vertical="center"/>
    </xf>
    <xf numFmtId="37" fontId="125" fillId="0" borderId="0" xfId="1434" applyFont="1" applyAlignment="1">
      <alignment vertical="center"/>
    </xf>
    <xf numFmtId="37" fontId="92" fillId="0" borderId="0" xfId="1434" applyFont="1" applyAlignment="1">
      <alignment horizontal="centerContinuous" vertical="center"/>
    </xf>
    <xf numFmtId="37" fontId="126" fillId="0" borderId="0" xfId="1434" applyFont="1" applyAlignment="1">
      <alignment horizontal="left" vertical="center"/>
    </xf>
    <xf numFmtId="37" fontId="12" fillId="0" borderId="0" xfId="1436" applyNumberFormat="1" applyFont="1" applyAlignment="1">
      <alignment horizontal="center" vertical="center"/>
    </xf>
    <xf numFmtId="5" fontId="16" fillId="0" borderId="0" xfId="1434" applyNumberFormat="1" applyFont="1" applyAlignment="1">
      <alignment vertical="center"/>
    </xf>
    <xf numFmtId="37" fontId="16" fillId="0" borderId="0" xfId="1434" applyFont="1" applyAlignment="1">
      <alignment vertical="center"/>
    </xf>
    <xf numFmtId="37" fontId="12" fillId="0" borderId="0" xfId="1436" applyNumberFormat="1" applyFont="1" applyAlignment="1">
      <alignment vertical="center"/>
    </xf>
    <xf numFmtId="5" fontId="12" fillId="0" borderId="19" xfId="1434" applyNumberFormat="1" applyFont="1" applyBorder="1" applyAlignment="1">
      <alignment vertical="center"/>
    </xf>
    <xf numFmtId="38" fontId="17" fillId="0" borderId="0" xfId="1434" applyNumberFormat="1" applyFont="1" applyAlignment="1">
      <alignment horizontal="centerContinuous" vertical="center"/>
    </xf>
    <xf numFmtId="38" fontId="116" fillId="0" borderId="0" xfId="1434" applyNumberFormat="1" applyFont="1" applyAlignment="1">
      <alignment horizontal="centerContinuous" vertical="center"/>
    </xf>
    <xf numFmtId="38" fontId="116" fillId="0" borderId="0" xfId="1434" applyNumberFormat="1" applyFont="1" applyAlignment="1">
      <alignment vertical="center"/>
    </xf>
    <xf numFmtId="37" fontId="127" fillId="0" borderId="0" xfId="1434" applyFont="1" applyAlignment="1">
      <alignment vertical="center"/>
    </xf>
    <xf numFmtId="38" fontId="12" fillId="0" borderId="0" xfId="1434" quotePrefix="1" applyNumberFormat="1" applyFont="1" applyAlignment="1">
      <alignment horizontal="centerContinuous" vertical="center"/>
    </xf>
    <xf numFmtId="38" fontId="13" fillId="0" borderId="0" xfId="1434" applyNumberFormat="1" applyFont="1" applyAlignment="1">
      <alignment horizontal="centerContinuous" vertical="center"/>
    </xf>
    <xf numFmtId="38" fontId="13" fillId="0" borderId="0" xfId="1434" applyNumberFormat="1" applyFont="1" applyAlignment="1">
      <alignment vertical="center"/>
    </xf>
    <xf numFmtId="37" fontId="16" fillId="0" borderId="0" xfId="1434" applyFont="1" applyAlignment="1">
      <alignment horizontal="right" vertical="center"/>
    </xf>
    <xf numFmtId="37" fontId="92" fillId="0" borderId="0" xfId="1434" applyFont="1" applyAlignment="1">
      <alignment vertical="center"/>
    </xf>
    <xf numFmtId="37" fontId="12" fillId="0" borderId="1" xfId="1434" applyFont="1" applyBorder="1" applyAlignment="1">
      <alignment horizontal="center" wrapText="1"/>
    </xf>
    <xf numFmtId="37" fontId="12" fillId="0" borderId="0" xfId="1434" applyFont="1"/>
    <xf numFmtId="37" fontId="12" fillId="0" borderId="1" xfId="1434" applyFont="1" applyBorder="1" applyAlignment="1">
      <alignment horizontal="center"/>
    </xf>
    <xf numFmtId="37" fontId="12" fillId="0" borderId="1" xfId="1434" quotePrefix="1" applyFont="1" applyBorder="1" applyAlignment="1">
      <alignment horizontal="center" wrapText="1"/>
    </xf>
    <xf numFmtId="3" fontId="12" fillId="0" borderId="18" xfId="1434" applyNumberFormat="1" applyFont="1" applyBorder="1" applyAlignment="1">
      <alignment vertical="center"/>
    </xf>
    <xf numFmtId="3" fontId="12" fillId="0" borderId="0" xfId="1434" applyNumberFormat="1" applyFont="1" applyAlignment="1">
      <alignment vertical="center"/>
    </xf>
    <xf numFmtId="37" fontId="113" fillId="0" borderId="0" xfId="1434" applyFont="1" applyAlignment="1">
      <alignment vertical="center"/>
    </xf>
    <xf numFmtId="37" fontId="128" fillId="0" borderId="0" xfId="1434" applyFont="1" applyAlignment="1">
      <alignment vertical="center"/>
    </xf>
    <xf numFmtId="5" fontId="16" fillId="0" borderId="0" xfId="2" applyNumberFormat="1" applyFont="1" applyFill="1" applyAlignment="1">
      <alignment vertical="center"/>
    </xf>
    <xf numFmtId="38" fontId="12" fillId="0" borderId="1" xfId="1426" quotePrefix="1" applyFont="1" applyBorder="1" applyAlignment="1">
      <alignment horizontal="center" vertical="center"/>
    </xf>
    <xf numFmtId="38" fontId="12" fillId="0" borderId="1" xfId="1426" quotePrefix="1" applyFont="1" applyBorder="1" applyAlignment="1">
      <alignment horizontal="centerContinuous" vertical="center"/>
    </xf>
    <xf numFmtId="38" fontId="12" fillId="0" borderId="1" xfId="1426" applyFont="1" applyBorder="1" applyAlignment="1">
      <alignment horizontal="centerContinuous" vertical="center"/>
    </xf>
    <xf numFmtId="164" fontId="12" fillId="0" borderId="1" xfId="1426" applyNumberFormat="1" applyFont="1" applyBorder="1" applyAlignment="1">
      <alignment horizontal="center" vertical="center" wrapText="1"/>
    </xf>
    <xf numFmtId="38" fontId="12" fillId="0" borderId="0" xfId="1426" quotePrefix="1" applyFont="1" applyAlignment="1">
      <alignment horizontal="center" vertical="center" wrapText="1"/>
    </xf>
    <xf numFmtId="43" fontId="12" fillId="0" borderId="0" xfId="1" applyFont="1" applyFill="1" applyAlignment="1">
      <alignment horizontal="center" vertical="center"/>
    </xf>
    <xf numFmtId="0" fontId="129" fillId="0" borderId="0" xfId="481" applyFont="1"/>
    <xf numFmtId="0" fontId="129" fillId="0" borderId="0" xfId="481" applyFont="1" applyAlignment="1">
      <alignment horizontal="center"/>
    </xf>
    <xf numFmtId="43" fontId="14" fillId="0" borderId="0" xfId="1" applyFont="1"/>
    <xf numFmtId="37" fontId="129" fillId="0" borderId="0" xfId="481" applyNumberFormat="1" applyFont="1"/>
    <xf numFmtId="43" fontId="14" fillId="0" borderId="1" xfId="1" applyFont="1" applyBorder="1" applyAlignment="1">
      <alignment horizontal="center" wrapText="1"/>
    </xf>
    <xf numFmtId="0" fontId="12" fillId="0" borderId="0" xfId="481" applyFont="1"/>
    <xf numFmtId="0" fontId="13" fillId="0" borderId="0" xfId="481" applyFont="1"/>
    <xf numFmtId="37" fontId="12" fillId="39" borderId="2" xfId="481" applyNumberFormat="1" applyFont="1" applyFill="1" applyBorder="1" applyAlignment="1">
      <alignment horizontal="center" vertical="center"/>
    </xf>
    <xf numFmtId="0" fontId="12" fillId="0" borderId="0" xfId="481" applyFont="1" applyAlignment="1">
      <alignment horizontal="centerContinuous" vertical="center"/>
    </xf>
    <xf numFmtId="37" fontId="12" fillId="44" borderId="2" xfId="481" applyNumberFormat="1" applyFont="1" applyFill="1" applyBorder="1" applyAlignment="1">
      <alignment horizontal="center" vertical="center"/>
    </xf>
    <xf numFmtId="0" fontId="12" fillId="0" borderId="0" xfId="481" applyFont="1" applyAlignment="1">
      <alignment horizontal="centerContinuous"/>
    </xf>
    <xf numFmtId="37" fontId="12" fillId="0" borderId="0" xfId="481" applyNumberFormat="1" applyFont="1"/>
    <xf numFmtId="37" fontId="12" fillId="0" borderId="2" xfId="481" applyNumberFormat="1" applyFont="1" applyBorder="1" applyAlignment="1">
      <alignment horizontal="center" vertical="center"/>
    </xf>
    <xf numFmtId="37" fontId="12" fillId="43" borderId="2" xfId="481" applyNumberFormat="1" applyFont="1" applyFill="1" applyBorder="1" applyAlignment="1">
      <alignment horizontal="center" vertical="center"/>
    </xf>
    <xf numFmtId="37" fontId="12" fillId="45" borderId="2" xfId="481" applyNumberFormat="1" applyFont="1" applyFill="1" applyBorder="1" applyAlignment="1">
      <alignment horizontal="center" vertical="center"/>
    </xf>
    <xf numFmtId="37" fontId="12" fillId="0" borderId="0" xfId="481" applyNumberFormat="1" applyFont="1" applyAlignment="1">
      <alignment horizontal="centerContinuous"/>
    </xf>
    <xf numFmtId="1" fontId="12" fillId="0" borderId="0" xfId="481" applyNumberFormat="1" applyFont="1"/>
    <xf numFmtId="37" fontId="12" fillId="45" borderId="24" xfId="481" applyNumberFormat="1" applyFont="1" applyFill="1" applyBorder="1"/>
    <xf numFmtId="0" fontId="103" fillId="0" borderId="0" xfId="481" applyFont="1"/>
    <xf numFmtId="37" fontId="12" fillId="39" borderId="24" xfId="481" applyNumberFormat="1" applyFont="1" applyFill="1" applyBorder="1"/>
    <xf numFmtId="0" fontId="12" fillId="0" borderId="0" xfId="481" quotePrefix="1" applyFont="1" applyAlignment="1">
      <alignment horizontal="left"/>
    </xf>
    <xf numFmtId="37" fontId="18" fillId="0" borderId="0" xfId="481" applyNumberFormat="1" applyFont="1"/>
    <xf numFmtId="37" fontId="12" fillId="45" borderId="0" xfId="481" applyNumberFormat="1" applyFont="1" applyFill="1"/>
    <xf numFmtId="182" fontId="12" fillId="39" borderId="0" xfId="1" applyNumberFormat="1" applyFont="1" applyFill="1" applyAlignment="1">
      <alignment horizontal="right"/>
    </xf>
    <xf numFmtId="37" fontId="12" fillId="0" borderId="19" xfId="481" applyNumberFormat="1" applyFont="1" applyBorder="1"/>
    <xf numFmtId="37" fontId="12" fillId="39" borderId="0" xfId="481" applyNumberFormat="1" applyFont="1" applyFill="1"/>
    <xf numFmtId="37" fontId="12" fillId="0" borderId="24" xfId="481" applyNumberFormat="1" applyFont="1" applyBorder="1"/>
    <xf numFmtId="0" fontId="76" fillId="0" borderId="0" xfId="0" applyFont="1" applyAlignment="1">
      <alignment horizontal="center"/>
    </xf>
    <xf numFmtId="10" fontId="12" fillId="45" borderId="1" xfId="3" applyNumberFormat="1" applyFont="1" applyFill="1" applyBorder="1" applyAlignment="1"/>
    <xf numFmtId="37" fontId="12" fillId="0" borderId="19" xfId="0" applyNumberFormat="1" applyFont="1" applyBorder="1"/>
    <xf numFmtId="164" fontId="12" fillId="0" borderId="1" xfId="1434" quotePrefix="1" applyNumberFormat="1" applyFont="1" applyBorder="1" applyAlignment="1">
      <alignment horizontal="center" wrapText="1"/>
    </xf>
    <xf numFmtId="164" fontId="12" fillId="0" borderId="0" xfId="1434" quotePrefix="1" applyNumberFormat="1" applyFont="1" applyAlignment="1">
      <alignment horizontal="center" wrapText="1"/>
    </xf>
    <xf numFmtId="5" fontId="12" fillId="0" borderId="0" xfId="2" applyNumberFormat="1" applyFont="1" applyFill="1" applyAlignment="1">
      <alignment vertical="center"/>
    </xf>
    <xf numFmtId="0" fontId="130" fillId="41" borderId="46" xfId="0" quotePrefix="1" applyFont="1" applyFill="1" applyBorder="1" applyAlignment="1">
      <alignment horizontal="center" wrapText="1"/>
    </xf>
    <xf numFmtId="0" fontId="130" fillId="41" borderId="46" xfId="0" applyFont="1" applyFill="1" applyBorder="1"/>
    <xf numFmtId="192" fontId="131" fillId="41" borderId="46" xfId="0" applyNumberFormat="1" applyFont="1" applyFill="1" applyBorder="1"/>
    <xf numFmtId="192" fontId="130" fillId="0" borderId="47" xfId="0" applyNumberFormat="1" applyFont="1" applyBorder="1"/>
    <xf numFmtId="192" fontId="130" fillId="0" borderId="48" xfId="0" applyNumberFormat="1" applyFont="1" applyBorder="1"/>
    <xf numFmtId="192" fontId="130" fillId="0" borderId="49" xfId="0" applyNumberFormat="1" applyFont="1" applyBorder="1"/>
    <xf numFmtId="0" fontId="0" fillId="41" borderId="55" xfId="0" applyFill="1" applyBorder="1"/>
    <xf numFmtId="0" fontId="110" fillId="41" borderId="55" xfId="0" applyFont="1" applyFill="1" applyBorder="1"/>
    <xf numFmtId="192" fontId="0" fillId="0" borderId="0" xfId="0" applyNumberFormat="1"/>
    <xf numFmtId="192" fontId="110" fillId="0" borderId="0" xfId="0" applyNumberFormat="1" applyFont="1"/>
    <xf numFmtId="0" fontId="11" fillId="41" borderId="46" xfId="0" applyFont="1" applyFill="1" applyBorder="1"/>
    <xf numFmtId="0" fontId="97" fillId="0" borderId="0" xfId="0" applyFont="1"/>
    <xf numFmtId="0" fontId="130" fillId="41" borderId="46" xfId="0" applyFont="1" applyFill="1" applyBorder="1" applyAlignment="1">
      <alignment horizontal="center" wrapText="1"/>
    </xf>
    <xf numFmtId="192" fontId="130" fillId="0" borderId="46" xfId="0" applyNumberFormat="1" applyFont="1" applyBorder="1"/>
    <xf numFmtId="0" fontId="0" fillId="0" borderId="45" xfId="0" applyBorder="1" applyAlignment="1">
      <alignment horizontal="left"/>
    </xf>
    <xf numFmtId="192" fontId="110" fillId="0" borderId="46" xfId="0" applyNumberFormat="1" applyFont="1" applyBorder="1"/>
    <xf numFmtId="37" fontId="14" fillId="37" borderId="0" xfId="0" applyNumberFormat="1" applyFont="1" applyFill="1" applyAlignment="1" applyProtection="1">
      <alignment vertical="top"/>
      <protection locked="0"/>
    </xf>
    <xf numFmtId="0" fontId="99" fillId="37" borderId="0" xfId="0" applyFont="1" applyFill="1" applyAlignment="1">
      <alignment vertical="top" wrapText="1"/>
    </xf>
    <xf numFmtId="0" fontId="0" fillId="0" borderId="46" xfId="0" applyBorder="1"/>
    <xf numFmtId="0" fontId="0" fillId="0" borderId="0" xfId="0" quotePrefix="1" applyAlignment="1">
      <alignment horizontal="center"/>
    </xf>
    <xf numFmtId="0" fontId="0" fillId="0" borderId="45" xfId="0" quotePrefix="1" applyBorder="1" applyAlignment="1">
      <alignment horizontal="center"/>
    </xf>
    <xf numFmtId="0" fontId="110" fillId="41" borderId="46" xfId="0" applyFont="1" applyFill="1" applyBorder="1" applyAlignment="1">
      <alignment horizontal="center" wrapText="1"/>
    </xf>
    <xf numFmtId="0" fontId="110" fillId="41" borderId="46" xfId="0" applyFont="1" applyFill="1" applyBorder="1" applyAlignment="1">
      <alignment horizontal="left" indent="1"/>
    </xf>
    <xf numFmtId="0" fontId="106" fillId="40" borderId="38" xfId="0" applyFont="1" applyFill="1" applyBorder="1" applyAlignment="1">
      <alignment horizontal="center" vertical="top"/>
    </xf>
    <xf numFmtId="0" fontId="106" fillId="41" borderId="37" xfId="0" applyFont="1" applyFill="1" applyBorder="1" applyAlignment="1">
      <alignment horizontal="center" vertical="top"/>
    </xf>
    <xf numFmtId="0" fontId="132" fillId="0" borderId="0" xfId="0" applyFont="1" applyAlignment="1">
      <alignment vertical="top"/>
    </xf>
    <xf numFmtId="37" fontId="14" fillId="0" borderId="0" xfId="0" applyNumberFormat="1" applyFont="1" applyAlignment="1">
      <alignment horizontal="center"/>
    </xf>
    <xf numFmtId="0" fontId="135" fillId="0" borderId="0" xfId="0" applyFont="1" applyAlignment="1">
      <alignment horizontal="left" vertical="top"/>
    </xf>
    <xf numFmtId="0" fontId="133" fillId="40" borderId="40" xfId="0" applyFont="1" applyFill="1" applyBorder="1" applyAlignment="1">
      <alignment horizontal="left" vertical="top" wrapText="1"/>
    </xf>
    <xf numFmtId="5" fontId="14" fillId="0" borderId="0" xfId="2" applyNumberFormat="1" applyFont="1" applyFill="1" applyBorder="1" applyAlignment="1" applyProtection="1">
      <alignment horizontal="right" vertical="center"/>
    </xf>
    <xf numFmtId="37" fontId="96" fillId="0" borderId="0" xfId="0" applyNumberFormat="1" applyFont="1" applyAlignment="1">
      <alignment horizontal="center"/>
    </xf>
    <xf numFmtId="0" fontId="136" fillId="0" borderId="0" xfId="0" applyFont="1" applyAlignment="1">
      <alignment horizontal="left" vertical="top"/>
    </xf>
    <xf numFmtId="0" fontId="134" fillId="0" borderId="0" xfId="0" applyFont="1" applyAlignment="1">
      <alignment horizontal="center" vertical="top"/>
    </xf>
    <xf numFmtId="0" fontId="133" fillId="0" borderId="0" xfId="0" applyFont="1" applyAlignment="1">
      <alignment horizontal="right" vertical="top"/>
    </xf>
    <xf numFmtId="0" fontId="133" fillId="40" borderId="40" xfId="0" applyFont="1" applyFill="1" applyBorder="1" applyAlignment="1">
      <alignment horizontal="left" vertical="top"/>
    </xf>
    <xf numFmtId="0" fontId="133" fillId="40" borderId="38" xfId="0" applyFont="1" applyFill="1" applyBorder="1" applyAlignment="1">
      <alignment horizontal="left" vertical="top"/>
    </xf>
    <xf numFmtId="0" fontId="134" fillId="40" borderId="37" xfId="0" applyFont="1" applyFill="1" applyBorder="1" applyAlignment="1">
      <alignment horizontal="left" vertical="top"/>
    </xf>
    <xf numFmtId="0" fontId="133" fillId="40" borderId="44" xfId="0" applyFont="1" applyFill="1" applyBorder="1" applyAlignment="1">
      <alignment horizontal="left" vertical="top"/>
    </xf>
    <xf numFmtId="39" fontId="134" fillId="40" borderId="43" xfId="0" applyNumberFormat="1" applyFont="1" applyFill="1" applyBorder="1" applyAlignment="1">
      <alignment horizontal="right" vertical="top"/>
    </xf>
    <xf numFmtId="39" fontId="42" fillId="0" borderId="0" xfId="481" applyNumberFormat="1" applyFont="1" applyAlignment="1">
      <alignment vertical="center"/>
    </xf>
    <xf numFmtId="39" fontId="11" fillId="0" borderId="0" xfId="481" applyNumberFormat="1" applyFont="1" applyAlignment="1">
      <alignment horizontal="center" vertical="center"/>
    </xf>
    <xf numFmtId="39" fontId="14" fillId="0" borderId="0" xfId="481" applyNumberFormat="1" applyAlignment="1">
      <alignment horizontal="center" vertical="center"/>
    </xf>
    <xf numFmtId="37" fontId="11" fillId="0" borderId="0" xfId="481" applyNumberFormat="1" applyFont="1" applyAlignment="1">
      <alignment horizontal="center" vertical="center" wrapText="1"/>
    </xf>
    <xf numFmtId="185" fontId="11" fillId="2" borderId="0" xfId="0" applyNumberFormat="1" applyFont="1" applyFill="1" applyAlignment="1">
      <alignment horizontal="center" vertical="center" wrapText="1"/>
    </xf>
    <xf numFmtId="182" fontId="14" fillId="39" borderId="0" xfId="1" applyNumberFormat="1" applyFont="1" applyFill="1" applyBorder="1" applyAlignment="1">
      <alignment horizontal="right"/>
    </xf>
    <xf numFmtId="3" fontId="0" fillId="39" borderId="0" xfId="0" applyNumberFormat="1" applyFill="1"/>
    <xf numFmtId="37" fontId="14" fillId="0" borderId="19" xfId="0" applyNumberFormat="1" applyFont="1" applyBorder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7" fontId="14" fillId="47" borderId="0" xfId="1117" applyNumberFormat="1" applyFont="1" applyFill="1" applyBorder="1" applyAlignment="1" applyProtection="1">
      <alignment horizontal="center" vertical="center"/>
    </xf>
    <xf numFmtId="37" fontId="14" fillId="47" borderId="0" xfId="1117" applyNumberFormat="1" applyFont="1" applyFill="1" applyBorder="1" applyAlignment="1">
      <alignment horizontal="center" vertical="center"/>
    </xf>
    <xf numFmtId="37" fontId="11" fillId="42" borderId="21" xfId="0" applyNumberFormat="1" applyFont="1" applyFill="1" applyBorder="1" applyAlignment="1">
      <alignment horizontal="center" vertical="center"/>
    </xf>
    <xf numFmtId="43" fontId="14" fillId="0" borderId="0" xfId="1" applyFont="1" applyFill="1"/>
    <xf numFmtId="9" fontId="77" fillId="0" borderId="0" xfId="3" applyFont="1" applyAlignment="1" applyProtection="1">
      <alignment horizontal="center" vertical="center"/>
      <protection locked="0"/>
    </xf>
    <xf numFmtId="182" fontId="0" fillId="0" borderId="0" xfId="1" applyNumberFormat="1" applyFont="1"/>
    <xf numFmtId="182" fontId="14" fillId="0" borderId="1" xfId="1" applyNumberFormat="1" applyFont="1" applyBorder="1" applyAlignment="1">
      <alignment horizontal="center"/>
    </xf>
    <xf numFmtId="182" fontId="14" fillId="49" borderId="2" xfId="1" applyNumberFormat="1" applyFont="1" applyFill="1" applyBorder="1" applyAlignment="1">
      <alignment horizontal="center" wrapText="1"/>
    </xf>
    <xf numFmtId="182" fontId="0" fillId="45" borderId="2" xfId="1" applyNumberFormat="1" applyFont="1" applyFill="1" applyBorder="1" applyAlignment="1">
      <alignment horizontal="center" wrapText="1"/>
    </xf>
    <xf numFmtId="182" fontId="0" fillId="0" borderId="0" xfId="1" applyNumberFormat="1" applyFont="1" applyAlignment="1">
      <alignment horizontal="center"/>
    </xf>
    <xf numFmtId="182" fontId="108" fillId="0" borderId="0" xfId="1" applyNumberFormat="1" applyFont="1" applyBorder="1" applyAlignment="1">
      <alignment horizontal="center"/>
    </xf>
    <xf numFmtId="182" fontId="108" fillId="0" borderId="2" xfId="1" applyNumberFormat="1" applyFont="1" applyBorder="1" applyAlignment="1">
      <alignment horizontal="center" wrapText="1"/>
    </xf>
    <xf numFmtId="182" fontId="108" fillId="0" borderId="0" xfId="1" applyNumberFormat="1" applyFont="1" applyAlignment="1">
      <alignment horizontal="center"/>
    </xf>
    <xf numFmtId="182" fontId="108" fillId="0" borderId="0" xfId="1" applyNumberFormat="1" applyFont="1" applyAlignment="1">
      <alignment horizontal="right" vertical="center"/>
    </xf>
    <xf numFmtId="182" fontId="108" fillId="0" borderId="0" xfId="1" applyNumberFormat="1" applyFont="1" applyAlignment="1">
      <alignment horizontal="right"/>
    </xf>
    <xf numFmtId="182" fontId="0" fillId="0" borderId="0" xfId="1" applyNumberFormat="1" applyFont="1" applyFill="1"/>
    <xf numFmtId="182" fontId="14" fillId="0" borderId="0" xfId="1" quotePrefix="1" applyNumberFormat="1" applyFont="1"/>
    <xf numFmtId="182" fontId="108" fillId="0" borderId="0" xfId="1" quotePrefix="1" applyNumberFormat="1" applyFont="1" applyAlignment="1">
      <alignment horizontal="right"/>
    </xf>
    <xf numFmtId="182" fontId="108" fillId="0" borderId="0" xfId="1" applyNumberFormat="1" applyFont="1" applyAlignment="1">
      <alignment horizontal="right" wrapText="1"/>
    </xf>
    <xf numFmtId="182" fontId="0" fillId="0" borderId="3" xfId="1" applyNumberFormat="1" applyFont="1" applyBorder="1"/>
    <xf numFmtId="182" fontId="11" fillId="50" borderId="22" xfId="1" applyNumberFormat="1" applyFont="1" applyFill="1" applyBorder="1"/>
    <xf numFmtId="182" fontId="0" fillId="0" borderId="1" xfId="1" applyNumberFormat="1" applyFont="1" applyBorder="1"/>
    <xf numFmtId="182" fontId="90" fillId="0" borderId="0" xfId="1" applyNumberFormat="1" applyFont="1" applyAlignment="1">
      <alignment horizontal="center" wrapText="1"/>
    </xf>
    <xf numFmtId="182" fontId="0" fillId="0" borderId="0" xfId="1" applyNumberFormat="1" applyFont="1" applyFill="1" applyAlignment="1">
      <alignment vertical="center"/>
    </xf>
    <xf numFmtId="5" fontId="96" fillId="0" borderId="0" xfId="0" applyNumberFormat="1" applyFont="1" applyAlignment="1">
      <alignment horizontal="center" vertical="center"/>
    </xf>
    <xf numFmtId="38" fontId="12" fillId="32" borderId="1" xfId="1428" applyFont="1" applyFill="1" applyBorder="1" applyAlignment="1">
      <alignment vertical="center"/>
    </xf>
    <xf numFmtId="182" fontId="12" fillId="0" borderId="0" xfId="1" applyNumberFormat="1" applyFont="1" applyFill="1" applyAlignment="1">
      <alignment horizontal="right" vertical="center"/>
    </xf>
    <xf numFmtId="5" fontId="18" fillId="0" borderId="1" xfId="1426" applyNumberFormat="1" applyFont="1" applyBorder="1" applyAlignment="1">
      <alignment vertical="center"/>
    </xf>
    <xf numFmtId="0" fontId="106" fillId="0" borderId="37" xfId="0" applyFont="1" applyBorder="1" applyAlignment="1">
      <alignment horizontal="left" vertical="top"/>
    </xf>
    <xf numFmtId="39" fontId="106" fillId="0" borderId="43" xfId="0" applyNumberFormat="1" applyFont="1" applyBorder="1" applyAlignment="1">
      <alignment horizontal="right" vertical="top"/>
    </xf>
    <xf numFmtId="0" fontId="133" fillId="0" borderId="37" xfId="0" applyFont="1" applyBorder="1" applyAlignment="1">
      <alignment horizontal="left" vertical="top"/>
    </xf>
    <xf numFmtId="39" fontId="133" fillId="0" borderId="43" xfId="0" applyNumberFormat="1" applyFont="1" applyBorder="1" applyAlignment="1">
      <alignment horizontal="right" vertical="top"/>
    </xf>
    <xf numFmtId="37" fontId="14" fillId="0" borderId="0" xfId="481" applyNumberFormat="1"/>
    <xf numFmtId="5" fontId="14" fillId="0" borderId="0" xfId="3" applyNumberFormat="1" applyFont="1" applyFill="1" applyBorder="1" applyAlignment="1" applyProtection="1">
      <alignment horizontal="center" vertical="center"/>
      <protection locked="0"/>
    </xf>
    <xf numFmtId="182" fontId="101" fillId="0" borderId="0" xfId="1" applyNumberFormat="1" applyFont="1" applyBorder="1" applyAlignment="1">
      <alignment horizontal="center"/>
    </xf>
    <xf numFmtId="182" fontId="101" fillId="0" borderId="0" xfId="1" applyNumberFormat="1" applyFont="1" applyFill="1" applyBorder="1" applyAlignment="1">
      <alignment horizontal="center"/>
    </xf>
    <xf numFmtId="182" fontId="102" fillId="0" borderId="0" xfId="1" applyNumberFormat="1" applyFont="1" applyBorder="1" applyAlignment="1">
      <alignment horizontal="center"/>
    </xf>
    <xf numFmtId="182" fontId="102" fillId="0" borderId="0" xfId="1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2" xfId="481" applyFont="1" applyBorder="1" applyAlignment="1">
      <alignment horizontal="center" wrapText="1"/>
    </xf>
    <xf numFmtId="0" fontId="14" fillId="0" borderId="0" xfId="481" applyAlignment="1">
      <alignment horizontal="right"/>
    </xf>
    <xf numFmtId="182" fontId="14" fillId="0" borderId="0" xfId="481" applyNumberFormat="1"/>
    <xf numFmtId="0" fontId="14" fillId="0" borderId="0" xfId="481" applyAlignment="1">
      <alignment horizontal="center" wrapText="1"/>
    </xf>
    <xf numFmtId="43" fontId="14" fillId="0" borderId="0" xfId="481" applyNumberFormat="1"/>
    <xf numFmtId="37" fontId="0" fillId="0" borderId="0" xfId="0" applyNumberFormat="1" applyAlignment="1">
      <alignment horizontal="right"/>
    </xf>
    <xf numFmtId="0" fontId="0" fillId="0" borderId="2" xfId="0" applyBorder="1"/>
    <xf numFmtId="0" fontId="0" fillId="0" borderId="42" xfId="0" applyBorder="1"/>
    <xf numFmtId="182" fontId="0" fillId="0" borderId="0" xfId="1" applyNumberFormat="1" applyFont="1" applyFill="1" applyBorder="1"/>
    <xf numFmtId="182" fontId="0" fillId="0" borderId="16" xfId="1" applyNumberFormat="1" applyFont="1" applyFill="1" applyBorder="1"/>
    <xf numFmtId="0" fontId="0" fillId="0" borderId="29" xfId="0" applyBorder="1"/>
    <xf numFmtId="182" fontId="0" fillId="0" borderId="1" xfId="1" applyNumberFormat="1" applyFont="1" applyFill="1" applyBorder="1"/>
    <xf numFmtId="182" fontId="0" fillId="0" borderId="36" xfId="1" applyNumberFormat="1" applyFont="1" applyFill="1" applyBorder="1"/>
    <xf numFmtId="182" fontId="0" fillId="0" borderId="35" xfId="1" applyNumberFormat="1" applyFont="1" applyFill="1" applyBorder="1"/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179" fontId="12" fillId="0" borderId="0" xfId="0" applyNumberFormat="1" applyFont="1" applyAlignment="1">
      <alignment horizontal="center" vertical="center"/>
    </xf>
    <xf numFmtId="37" fontId="109" fillId="0" borderId="1" xfId="0" applyNumberFormat="1" applyFont="1" applyBorder="1" applyAlignment="1">
      <alignment vertical="center"/>
    </xf>
    <xf numFmtId="0" fontId="18" fillId="0" borderId="0" xfId="1429" applyFont="1" applyAlignment="1">
      <alignment vertical="center"/>
    </xf>
    <xf numFmtId="3" fontId="18" fillId="0" borderId="0" xfId="1434" applyNumberFormat="1" applyFont="1" applyAlignment="1">
      <alignment vertical="center"/>
    </xf>
    <xf numFmtId="5" fontId="12" fillId="0" borderId="24" xfId="1434" applyNumberFormat="1" applyFont="1" applyBorder="1" applyAlignment="1">
      <alignment vertical="center"/>
    </xf>
    <xf numFmtId="10" fontId="12" fillId="0" borderId="0" xfId="3" applyNumberFormat="1" applyFont="1" applyFill="1" applyAlignment="1">
      <alignment vertical="center"/>
    </xf>
    <xf numFmtId="6" fontId="12" fillId="0" borderId="19" xfId="0" applyNumberFormat="1" applyFont="1" applyBorder="1" applyAlignment="1">
      <alignment vertical="center"/>
    </xf>
    <xf numFmtId="10" fontId="12" fillId="0" borderId="19" xfId="0" applyNumberFormat="1" applyFont="1" applyBorder="1" applyAlignment="1">
      <alignment horizontal="right" vertical="center"/>
    </xf>
    <xf numFmtId="49" fontId="12" fillId="0" borderId="0" xfId="0" quotePrefix="1" applyNumberFormat="1" applyFont="1" applyAlignment="1">
      <alignment horizontal="right" vertical="center"/>
    </xf>
    <xf numFmtId="37" fontId="18" fillId="0" borderId="1" xfId="0" applyNumberFormat="1" applyFont="1" applyBorder="1" applyAlignment="1">
      <alignment vertical="center"/>
    </xf>
    <xf numFmtId="0" fontId="103" fillId="0" borderId="0" xfId="0" quotePrefix="1" applyFont="1" applyAlignment="1">
      <alignment horizontal="right" vertical="center"/>
    </xf>
    <xf numFmtId="37" fontId="12" fillId="0" borderId="0" xfId="0" quotePrefix="1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0" fontId="14" fillId="0" borderId="30" xfId="481" applyBorder="1"/>
    <xf numFmtId="0" fontId="14" fillId="0" borderId="25" xfId="481" applyBorder="1" applyAlignment="1">
      <alignment horizontal="right"/>
    </xf>
    <xf numFmtId="0" fontId="14" fillId="0" borderId="26" xfId="481" applyBorder="1"/>
    <xf numFmtId="0" fontId="14" fillId="0" borderId="31" xfId="481" applyBorder="1"/>
    <xf numFmtId="37" fontId="14" fillId="0" borderId="0" xfId="481" applyNumberFormat="1" applyAlignment="1">
      <alignment horizontal="right"/>
    </xf>
    <xf numFmtId="5" fontId="14" fillId="0" borderId="27" xfId="481" applyNumberFormat="1" applyBorder="1"/>
    <xf numFmtId="182" fontId="14" fillId="0" borderId="57" xfId="481" applyNumberFormat="1" applyBorder="1"/>
    <xf numFmtId="0" fontId="14" fillId="0" borderId="31" xfId="481" applyBorder="1" applyAlignment="1">
      <alignment horizontal="center"/>
    </xf>
    <xf numFmtId="43" fontId="14" fillId="0" borderId="31" xfId="481" applyNumberFormat="1" applyBorder="1"/>
    <xf numFmtId="0" fontId="11" fillId="0" borderId="0" xfId="481" applyFont="1" applyAlignment="1">
      <alignment horizontal="right"/>
    </xf>
    <xf numFmtId="0" fontId="0" fillId="0" borderId="31" xfId="0" applyBorder="1"/>
    <xf numFmtId="0" fontId="0" fillId="0" borderId="33" xfId="0" applyBorder="1"/>
    <xf numFmtId="0" fontId="0" fillId="0" borderId="4" xfId="0" applyBorder="1"/>
    <xf numFmtId="5" fontId="0" fillId="0" borderId="28" xfId="0" applyNumberFormat="1" applyBorder="1"/>
    <xf numFmtId="182" fontId="11" fillId="0" borderId="0" xfId="1" applyNumberFormat="1" applyFont="1" applyFill="1" applyBorder="1" applyAlignment="1">
      <alignment horizontal="center"/>
    </xf>
    <xf numFmtId="182" fontId="0" fillId="0" borderId="56" xfId="0" applyNumberFormat="1" applyBorder="1"/>
    <xf numFmtId="182" fontId="0" fillId="0" borderId="42" xfId="0" applyNumberFormat="1" applyBorder="1"/>
    <xf numFmtId="182" fontId="0" fillId="0" borderId="29" xfId="0" applyNumberFormat="1" applyBorder="1"/>
    <xf numFmtId="182" fontId="0" fillId="0" borderId="2" xfId="1" applyNumberFormat="1" applyFont="1" applyFill="1" applyBorder="1"/>
    <xf numFmtId="5" fontId="14" fillId="0" borderId="57" xfId="481" applyNumberFormat="1" applyBorder="1"/>
    <xf numFmtId="5" fontId="14" fillId="0" borderId="0" xfId="481" applyNumberFormat="1" applyAlignment="1">
      <alignment horizontal="center"/>
    </xf>
    <xf numFmtId="7" fontId="12" fillId="0" borderId="0" xfId="0" applyNumberFormat="1" applyFont="1" applyAlignment="1">
      <alignment vertical="center"/>
    </xf>
    <xf numFmtId="5" fontId="11" fillId="0" borderId="0" xfId="481" applyNumberFormat="1" applyFont="1" applyAlignment="1">
      <alignment horizontal="center" vertical="center"/>
    </xf>
    <xf numFmtId="10" fontId="14" fillId="0" borderId="1" xfId="1" applyNumberFormat="1" applyFont="1" applyBorder="1" applyAlignment="1" applyProtection="1">
      <alignment horizontal="right" vertical="center"/>
      <protection locked="0"/>
    </xf>
    <xf numFmtId="0" fontId="14" fillId="0" borderId="1" xfId="481" applyBorder="1" applyAlignment="1">
      <alignment horizontal="center" wrapText="1"/>
    </xf>
    <xf numFmtId="37" fontId="12" fillId="0" borderId="1" xfId="610" applyNumberFormat="1" applyFont="1" applyBorder="1" applyAlignment="1">
      <alignment vertical="center"/>
    </xf>
    <xf numFmtId="37" fontId="14" fillId="42" borderId="20" xfId="0" applyNumberFormat="1" applyFont="1" applyFill="1" applyBorder="1" applyAlignment="1" applyProtection="1">
      <alignment horizontal="center" vertical="center" wrapText="1"/>
      <protection locked="0"/>
    </xf>
    <xf numFmtId="37" fontId="14" fillId="42" borderId="8" xfId="0" applyNumberFormat="1" applyFont="1" applyFill="1" applyBorder="1" applyAlignment="1" applyProtection="1">
      <alignment horizontal="center" vertical="center" wrapText="1"/>
      <protection locked="0"/>
    </xf>
    <xf numFmtId="37" fontId="11" fillId="42" borderId="8" xfId="0" quotePrefix="1" applyNumberFormat="1" applyFont="1" applyFill="1" applyBorder="1" applyAlignment="1" applyProtection="1">
      <alignment horizontal="right" vertical="center"/>
      <protection locked="0"/>
    </xf>
    <xf numFmtId="5" fontId="11" fillId="42" borderId="21" xfId="0" applyNumberFormat="1" applyFont="1" applyFill="1" applyBorder="1"/>
    <xf numFmtId="182" fontId="12" fillId="0" borderId="1" xfId="1" applyNumberFormat="1" applyFont="1" applyBorder="1"/>
    <xf numFmtId="0" fontId="12" fillId="0" borderId="0" xfId="0" applyFont="1" applyAlignment="1">
      <alignment horizontal="right"/>
    </xf>
    <xf numFmtId="0" fontId="12" fillId="0" borderId="1" xfId="0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182" fontId="12" fillId="0" borderId="0" xfId="1426" applyNumberFormat="1" applyFont="1" applyAlignment="1">
      <alignment vertical="center"/>
    </xf>
    <xf numFmtId="0" fontId="139" fillId="41" borderId="0" xfId="0" applyFont="1" applyFill="1"/>
    <xf numFmtId="0" fontId="139" fillId="41" borderId="0" xfId="0" applyFont="1" applyFill="1" applyAlignment="1">
      <alignment horizontal="right"/>
    </xf>
    <xf numFmtId="0" fontId="139" fillId="0" borderId="0" xfId="859" applyFont="1"/>
    <xf numFmtId="0" fontId="12" fillId="41" borderId="0" xfId="0" applyFont="1" applyFill="1" applyAlignment="1">
      <alignment horizontal="left" wrapText="1"/>
    </xf>
    <xf numFmtId="0" fontId="139" fillId="41" borderId="0" xfId="0" applyFont="1" applyFill="1" applyAlignment="1">
      <alignment horizontal="center" wrapText="1"/>
    </xf>
    <xf numFmtId="0" fontId="139" fillId="41" borderId="41" xfId="0" applyFont="1" applyFill="1" applyBorder="1" applyAlignment="1">
      <alignment horizontal="center" wrapText="1"/>
    </xf>
    <xf numFmtId="0" fontId="12" fillId="41" borderId="0" xfId="0" applyFont="1" applyFill="1" applyAlignment="1">
      <alignment horizontal="right" wrapText="1"/>
    </xf>
    <xf numFmtId="0" fontId="139" fillId="41" borderId="0" xfId="0" applyFont="1" applyFill="1" applyAlignment="1">
      <alignment horizontal="left" wrapText="1"/>
    </xf>
    <xf numFmtId="37" fontId="139" fillId="41" borderId="0" xfId="0" applyNumberFormat="1" applyFont="1" applyFill="1" applyAlignment="1">
      <alignment horizontal="right" wrapText="1"/>
    </xf>
    <xf numFmtId="37" fontId="139" fillId="0" borderId="0" xfId="859" applyNumberFormat="1" applyFont="1"/>
    <xf numFmtId="37" fontId="139" fillId="41" borderId="51" xfId="0" applyNumberFormat="1" applyFont="1" applyFill="1" applyBorder="1" applyAlignment="1">
      <alignment horizontal="right" wrapText="1"/>
    </xf>
    <xf numFmtId="37" fontId="139" fillId="41" borderId="52" xfId="0" applyNumberFormat="1" applyFont="1" applyFill="1" applyBorder="1" applyAlignment="1">
      <alignment horizontal="right" wrapText="1"/>
    </xf>
    <xf numFmtId="37" fontId="139" fillId="41" borderId="19" xfId="0" applyNumberFormat="1" applyFont="1" applyFill="1" applyBorder="1" applyAlignment="1">
      <alignment horizontal="right" wrapText="1"/>
    </xf>
    <xf numFmtId="37" fontId="139" fillId="41" borderId="53" xfId="0" applyNumberFormat="1" applyFont="1" applyFill="1" applyBorder="1" applyAlignment="1">
      <alignment horizontal="right" wrapText="1"/>
    </xf>
    <xf numFmtId="0" fontId="140" fillId="41" borderId="0" xfId="0" applyFont="1" applyFill="1" applyAlignment="1">
      <alignment horizontal="center" wrapText="1"/>
    </xf>
    <xf numFmtId="0" fontId="12" fillId="41" borderId="0" xfId="0" applyFont="1" applyFill="1" applyAlignment="1">
      <alignment horizontal="center" wrapText="1"/>
    </xf>
    <xf numFmtId="0" fontId="139" fillId="0" borderId="0" xfId="859" applyFont="1" applyAlignment="1">
      <alignment horizontal="left" wrapText="1"/>
    </xf>
    <xf numFmtId="0" fontId="139" fillId="0" borderId="0" xfId="859" applyFont="1" applyAlignment="1">
      <alignment horizontal="right" wrapText="1"/>
    </xf>
    <xf numFmtId="37" fontId="139" fillId="0" borderId="0" xfId="0" applyNumberFormat="1" applyFont="1" applyAlignment="1">
      <alignment horizontal="right" wrapText="1"/>
    </xf>
    <xf numFmtId="37" fontId="139" fillId="41" borderId="41" xfId="0" applyNumberFormat="1" applyFont="1" applyFill="1" applyBorder="1" applyAlignment="1">
      <alignment horizontal="right" wrapText="1"/>
    </xf>
    <xf numFmtId="37" fontId="139" fillId="41" borderId="54" xfId="0" applyNumberFormat="1" applyFont="1" applyFill="1" applyBorder="1" applyAlignment="1">
      <alignment horizontal="right" wrapText="1"/>
    </xf>
    <xf numFmtId="0" fontId="139" fillId="41" borderId="41" xfId="0" applyFont="1" applyFill="1" applyBorder="1" applyAlignment="1">
      <alignment horizontal="left" wrapText="1"/>
    </xf>
    <xf numFmtId="0" fontId="139" fillId="0" borderId="0" xfId="859" applyFont="1" applyAlignment="1">
      <alignment horizontal="right"/>
    </xf>
    <xf numFmtId="0" fontId="139" fillId="41" borderId="0" xfId="0" applyFont="1" applyFill="1" applyAlignment="1">
      <alignment horizontal="left" wrapText="1" indent="1"/>
    </xf>
    <xf numFmtId="0" fontId="139" fillId="41" borderId="0" xfId="0" applyFont="1" applyFill="1" applyAlignment="1">
      <alignment horizontal="left" wrapText="1" indent="2"/>
    </xf>
    <xf numFmtId="0" fontId="139" fillId="0" borderId="0" xfId="0" applyFont="1" applyAlignment="1">
      <alignment horizontal="left" wrapText="1" indent="2"/>
    </xf>
    <xf numFmtId="37" fontId="139" fillId="41" borderId="24" xfId="0" applyNumberFormat="1" applyFont="1" applyFill="1" applyBorder="1" applyAlignment="1">
      <alignment horizontal="right" wrapText="1"/>
    </xf>
    <xf numFmtId="0" fontId="140" fillId="0" borderId="0" xfId="859" applyFont="1" applyAlignment="1">
      <alignment horizontal="center" wrapText="1"/>
    </xf>
    <xf numFmtId="0" fontId="139" fillId="0" borderId="0" xfId="859" applyFont="1" applyAlignment="1">
      <alignment horizontal="center" wrapText="1"/>
    </xf>
    <xf numFmtId="0" fontId="139" fillId="41" borderId="1" xfId="0" applyFont="1" applyFill="1" applyBorder="1" applyAlignment="1">
      <alignment horizontal="center" wrapText="1"/>
    </xf>
    <xf numFmtId="37" fontId="139" fillId="41" borderId="18" xfId="0" applyNumberFormat="1" applyFont="1" applyFill="1" applyBorder="1" applyAlignment="1">
      <alignment horizontal="right" wrapText="1"/>
    </xf>
    <xf numFmtId="0" fontId="139" fillId="0" borderId="51" xfId="859" applyFont="1" applyBorder="1" applyAlignment="1">
      <alignment horizontal="right" wrapText="1"/>
    </xf>
    <xf numFmtId="192" fontId="12" fillId="0" borderId="0" xfId="0" applyNumberFormat="1" applyFont="1"/>
    <xf numFmtId="192" fontId="12" fillId="0" borderId="19" xfId="0" applyNumberFormat="1" applyFont="1" applyBorder="1"/>
    <xf numFmtId="37" fontId="139" fillId="0" borderId="0" xfId="859" applyNumberFormat="1" applyFont="1" applyAlignment="1">
      <alignment horizontal="right" wrapText="1"/>
    </xf>
    <xf numFmtId="37" fontId="139" fillId="0" borderId="52" xfId="859" applyNumberFormat="1" applyFont="1" applyBorder="1" applyAlignment="1">
      <alignment horizontal="right" wrapText="1"/>
    </xf>
    <xf numFmtId="37" fontId="139" fillId="0" borderId="53" xfId="859" applyNumberFormat="1" applyFont="1" applyBorder="1" applyAlignment="1">
      <alignment horizontal="right" wrapText="1"/>
    </xf>
    <xf numFmtId="0" fontId="139" fillId="0" borderId="41" xfId="859" applyFont="1" applyBorder="1" applyAlignment="1">
      <alignment horizontal="left" wrapText="1"/>
    </xf>
    <xf numFmtId="38" fontId="141" fillId="0" borderId="0" xfId="1433" applyNumberFormat="1" applyFont="1" applyAlignment="1" applyProtection="1"/>
    <xf numFmtId="0" fontId="17" fillId="0" borderId="0" xfId="0" applyFont="1" applyAlignment="1">
      <alignment horizontal="left" vertical="center"/>
    </xf>
    <xf numFmtId="0" fontId="12" fillId="0" borderId="0" xfId="514" applyFont="1"/>
    <xf numFmtId="0" fontId="12" fillId="0" borderId="0" xfId="1437" applyFont="1" applyAlignment="1">
      <alignment horizontal="left" vertical="center"/>
    </xf>
    <xf numFmtId="0" fontId="12" fillId="35" borderId="0" xfId="1437" applyFont="1" applyFill="1" applyAlignment="1">
      <alignment horizontal="left" vertical="center"/>
    </xf>
    <xf numFmtId="0" fontId="12" fillId="0" borderId="0" xfId="1437" applyFont="1" applyAlignment="1">
      <alignment vertical="center"/>
    </xf>
    <xf numFmtId="0" fontId="12" fillId="0" borderId="0" xfId="1437" applyFont="1" applyAlignment="1">
      <alignment horizontal="left" vertical="top"/>
    </xf>
    <xf numFmtId="8" fontId="12" fillId="0" borderId="0" xfId="1437" quotePrefix="1" applyNumberFormat="1" applyFont="1" applyAlignment="1">
      <alignment horizontal="right" vertical="top"/>
    </xf>
    <xf numFmtId="0" fontId="12" fillId="0" borderId="0" xfId="1437" quotePrefix="1" applyFont="1" applyAlignment="1">
      <alignment horizontal="left" vertical="top" indent="1"/>
    </xf>
    <xf numFmtId="0" fontId="12" fillId="0" borderId="1" xfId="1437" quotePrefix="1" applyFont="1" applyBorder="1" applyAlignment="1">
      <alignment horizontal="right" vertical="top"/>
    </xf>
    <xf numFmtId="0" fontId="12" fillId="0" borderId="19" xfId="1437" applyFont="1" applyBorder="1" applyAlignment="1">
      <alignment horizontal="right" vertical="top"/>
    </xf>
    <xf numFmtId="0" fontId="17" fillId="0" borderId="0" xfId="1437" applyFont="1" applyAlignment="1">
      <alignment vertical="center"/>
    </xf>
    <xf numFmtId="0" fontId="140" fillId="41" borderId="0" xfId="0" applyFont="1" applyFill="1" applyAlignment="1">
      <alignment horizontal="center"/>
    </xf>
    <xf numFmtId="0" fontId="12" fillId="0" borderId="0" xfId="1425" applyFont="1"/>
    <xf numFmtId="38" fontId="12" fillId="0" borderId="1" xfId="1425" applyNumberFormat="1" applyFont="1" applyBorder="1" applyAlignment="1">
      <alignment horizontal="center" wrapText="1"/>
    </xf>
    <xf numFmtId="10" fontId="12" fillId="0" borderId="0" xfId="1424" applyNumberFormat="1" applyFont="1" applyFill="1" applyAlignment="1">
      <alignment horizontal="center" vertical="center"/>
    </xf>
    <xf numFmtId="0" fontId="140" fillId="0" borderId="0" xfId="859" applyFont="1" applyAlignment="1">
      <alignment horizontal="center"/>
    </xf>
    <xf numFmtId="37" fontId="17" fillId="0" borderId="0" xfId="0" quotePrefix="1" applyNumberFormat="1" applyFont="1" applyAlignment="1">
      <alignment vertical="center"/>
    </xf>
    <xf numFmtId="5" fontId="12" fillId="32" borderId="0" xfId="0" applyNumberFormat="1" applyFont="1" applyFill="1" applyAlignment="1">
      <alignment horizontal="right" vertical="center"/>
    </xf>
    <xf numFmtId="37" fontId="139" fillId="41" borderId="54" xfId="0" applyNumberFormat="1" applyFont="1" applyFill="1" applyBorder="1" applyAlignment="1">
      <alignment horizontal="right" vertical="center" wrapText="1"/>
    </xf>
    <xf numFmtId="1" fontId="139" fillId="0" borderId="0" xfId="859" applyNumberFormat="1" applyFont="1"/>
    <xf numFmtId="37" fontId="90" fillId="0" borderId="0" xfId="0" applyNumberFormat="1" applyFont="1" applyAlignment="1">
      <alignment horizontal="center" vertical="center"/>
    </xf>
    <xf numFmtId="37" fontId="14" fillId="51" borderId="0" xfId="0" applyNumberFormat="1" applyFont="1" applyFill="1" applyAlignment="1">
      <alignment horizontal="center" vertical="center"/>
    </xf>
    <xf numFmtId="0" fontId="106" fillId="40" borderId="39" xfId="0" applyFont="1" applyFill="1" applyBorder="1" applyAlignment="1">
      <alignment horizontal="center" vertical="top"/>
    </xf>
    <xf numFmtId="40" fontId="106" fillId="41" borderId="40" xfId="0" applyNumberFormat="1" applyFont="1" applyFill="1" applyBorder="1" applyAlignment="1">
      <alignment horizontal="right" vertical="top"/>
    </xf>
    <xf numFmtId="40" fontId="107" fillId="40" borderId="40" xfId="0" applyNumberFormat="1" applyFont="1" applyFill="1" applyBorder="1" applyAlignment="1">
      <alignment horizontal="right" vertical="top"/>
    </xf>
    <xf numFmtId="183" fontId="14" fillId="0" borderId="0" xfId="0" applyNumberFormat="1" applyFont="1" applyAlignment="1" applyProtection="1">
      <alignment horizontal="center" vertical="center"/>
      <protection locked="0"/>
    </xf>
    <xf numFmtId="185" fontId="14" fillId="0" borderId="0" xfId="0" applyNumberFormat="1" applyFont="1" applyAlignment="1" applyProtection="1">
      <alignment horizontal="center" vertical="center"/>
      <protection locked="0"/>
    </xf>
    <xf numFmtId="10" fontId="109" fillId="0" borderId="1" xfId="3" applyNumberFormat="1" applyFont="1" applyBorder="1" applyAlignment="1">
      <alignment vertical="center"/>
    </xf>
    <xf numFmtId="43" fontId="0" fillId="0" borderId="0" xfId="0" applyNumberFormat="1"/>
    <xf numFmtId="37" fontId="83" fillId="0" borderId="0" xfId="0" applyNumberFormat="1" applyFont="1" applyAlignment="1" applyProtection="1">
      <alignment horizontal="center" vertical="center" wrapText="1"/>
      <protection locked="0"/>
    </xf>
    <xf numFmtId="0" fontId="90" fillId="0" borderId="0" xfId="481" applyFont="1"/>
    <xf numFmtId="190" fontId="11" fillId="0" borderId="32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vertical="center" wrapText="1"/>
    </xf>
    <xf numFmtId="0" fontId="12" fillId="0" borderId="1" xfId="1431" applyFont="1" applyBorder="1" applyAlignment="1">
      <alignment vertical="center"/>
    </xf>
    <xf numFmtId="37" fontId="12" fillId="0" borderId="1" xfId="1426" applyNumberFormat="1" applyFont="1" applyBorder="1" applyAlignment="1">
      <alignment wrapText="1"/>
    </xf>
    <xf numFmtId="38" fontId="12" fillId="0" borderId="1" xfId="1426" applyFont="1" applyBorder="1" applyAlignment="1">
      <alignment wrapText="1"/>
    </xf>
    <xf numFmtId="37" fontId="12" fillId="0" borderId="0" xfId="0" applyNumberFormat="1" applyFont="1" applyAlignment="1">
      <alignment horizontal="center" wrapText="1"/>
    </xf>
    <xf numFmtId="37" fontId="12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wrapText="1"/>
    </xf>
    <xf numFmtId="182" fontId="103" fillId="0" borderId="0" xfId="1" applyNumberFormat="1" applyFont="1" applyBorder="1" applyAlignment="1">
      <alignment horizontal="center" vertical="center"/>
    </xf>
    <xf numFmtId="43" fontId="103" fillId="0" borderId="0" xfId="1" applyFont="1" applyBorder="1" applyAlignment="1">
      <alignment horizontal="center" vertical="center"/>
    </xf>
    <xf numFmtId="38" fontId="12" fillId="0" borderId="1" xfId="1426" applyFont="1" applyBorder="1" applyAlignment="1">
      <alignment vertical="center"/>
    </xf>
    <xf numFmtId="38" fontId="12" fillId="0" borderId="1" xfId="1426" applyFont="1" applyBorder="1" applyAlignment="1">
      <alignment vertical="center" wrapText="1"/>
    </xf>
    <xf numFmtId="5" fontId="0" fillId="32" borderId="58" xfId="0" applyNumberFormat="1" applyFill="1" applyBorder="1"/>
    <xf numFmtId="0" fontId="90" fillId="0" borderId="0" xfId="0" applyFont="1" applyAlignment="1">
      <alignment horizontal="center" vertical="center"/>
    </xf>
    <xf numFmtId="182" fontId="108" fillId="0" borderId="0" xfId="0" applyNumberFormat="1" applyFont="1" applyAlignment="1">
      <alignment horizontal="center"/>
    </xf>
    <xf numFmtId="0" fontId="108" fillId="0" borderId="0" xfId="1431" applyFont="1" applyAlignment="1">
      <alignment horizontal="center" vertical="center"/>
    </xf>
    <xf numFmtId="183" fontId="11" fillId="2" borderId="24" xfId="0" applyNumberFormat="1" applyFont="1" applyFill="1" applyBorder="1" applyAlignment="1">
      <alignment vertical="center"/>
    </xf>
    <xf numFmtId="184" fontId="12" fillId="0" borderId="1" xfId="1424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11" fillId="0" borderId="34" xfId="0" applyNumberFormat="1" applyFont="1" applyBorder="1" applyAlignment="1">
      <alignment horizontal="center" vertical="center"/>
    </xf>
    <xf numFmtId="4" fontId="11" fillId="0" borderId="2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74" fillId="0" borderId="0" xfId="0" applyFont="1" applyAlignment="1">
      <alignment horizontal="center" vertical="center"/>
    </xf>
    <xf numFmtId="0" fontId="74" fillId="43" borderId="34" xfId="0" applyFont="1" applyFill="1" applyBorder="1" applyAlignment="1">
      <alignment horizontal="center" vertical="center"/>
    </xf>
    <xf numFmtId="0" fontId="74" fillId="43" borderId="3" xfId="0" applyFont="1" applyFill="1" applyBorder="1" applyAlignment="1">
      <alignment horizontal="center" vertical="center"/>
    </xf>
    <xf numFmtId="0" fontId="74" fillId="43" borderId="23" xfId="0" applyFont="1" applyFill="1" applyBorder="1" applyAlignment="1">
      <alignment horizontal="center" vertical="center"/>
    </xf>
    <xf numFmtId="182" fontId="74" fillId="0" borderId="0" xfId="1" applyNumberFormat="1" applyFont="1" applyAlignment="1">
      <alignment horizontal="center" vertical="center"/>
    </xf>
    <xf numFmtId="182" fontId="14" fillId="48" borderId="56" xfId="1" applyNumberFormat="1" applyFont="1" applyFill="1" applyBorder="1" applyAlignment="1">
      <alignment horizontal="center" wrapText="1"/>
    </xf>
    <xf numFmtId="182" fontId="0" fillId="48" borderId="29" xfId="1" applyNumberFormat="1" applyFont="1" applyFill="1" applyBorder="1" applyAlignment="1">
      <alignment horizontal="center" wrapText="1"/>
    </xf>
    <xf numFmtId="182" fontId="0" fillId="49" borderId="34" xfId="1" applyNumberFormat="1" applyFont="1" applyFill="1" applyBorder="1" applyAlignment="1">
      <alignment horizontal="center"/>
    </xf>
    <xf numFmtId="182" fontId="0" fillId="49" borderId="3" xfId="1" applyNumberFormat="1" applyFont="1" applyFill="1" applyBorder="1" applyAlignment="1">
      <alignment horizontal="center"/>
    </xf>
    <xf numFmtId="182" fontId="14" fillId="45" borderId="2" xfId="1" applyNumberFormat="1" applyFont="1" applyFill="1" applyBorder="1" applyAlignment="1">
      <alignment horizontal="center"/>
    </xf>
    <xf numFmtId="182" fontId="14" fillId="50" borderId="56" xfId="1" applyNumberFormat="1" applyFont="1" applyFill="1" applyBorder="1" applyAlignment="1">
      <alignment horizontal="center" wrapText="1"/>
    </xf>
    <xf numFmtId="182" fontId="14" fillId="50" borderId="29" xfId="1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3" fillId="0" borderId="3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38" fontId="13" fillId="3" borderId="20" xfId="1426" applyFont="1" applyFill="1" applyBorder="1" applyAlignment="1">
      <alignment horizontal="center" vertical="center"/>
    </xf>
    <xf numFmtId="38" fontId="13" fillId="3" borderId="8" xfId="1426" applyFont="1" applyFill="1" applyBorder="1" applyAlignment="1">
      <alignment horizontal="center" vertical="center"/>
    </xf>
    <xf numFmtId="38" fontId="13" fillId="3" borderId="21" xfId="1426" applyFont="1" applyFill="1" applyBorder="1" applyAlignment="1">
      <alignment horizontal="center" vertical="center"/>
    </xf>
    <xf numFmtId="38" fontId="12" fillId="0" borderId="0" xfId="1426" quotePrefix="1" applyFont="1" applyAlignment="1">
      <alignment horizontal="center" vertical="center"/>
    </xf>
    <xf numFmtId="38" fontId="12" fillId="0" borderId="1" xfId="1426" quotePrefix="1" applyFont="1" applyBorder="1" applyAlignment="1">
      <alignment horizontal="center" vertical="center"/>
    </xf>
    <xf numFmtId="38" fontId="12" fillId="0" borderId="0" xfId="1426" quotePrefix="1" applyFont="1" applyAlignment="1">
      <alignment horizontal="center" vertical="center" wrapText="1"/>
    </xf>
    <xf numFmtId="38" fontId="12" fillId="0" borderId="0" xfId="1426" applyFont="1" applyAlignment="1">
      <alignment horizontal="center" vertical="center"/>
    </xf>
    <xf numFmtId="38" fontId="12" fillId="0" borderId="1" xfId="1426" applyFont="1" applyBorder="1" applyAlignment="1">
      <alignment horizontal="center" vertical="center"/>
    </xf>
    <xf numFmtId="38" fontId="12" fillId="0" borderId="0" xfId="1426" applyFont="1" applyAlignment="1">
      <alignment horizontal="center" vertical="center" wrapText="1"/>
    </xf>
    <xf numFmtId="38" fontId="12" fillId="0" borderId="1" xfId="1426" applyFont="1" applyBorder="1" applyAlignment="1">
      <alignment horizontal="center" vertical="center" wrapText="1"/>
    </xf>
    <xf numFmtId="38" fontId="12" fillId="0" borderId="0" xfId="1429" applyNumberFormat="1" applyFont="1" applyAlignment="1">
      <alignment horizontal="center" vertical="center"/>
    </xf>
    <xf numFmtId="0" fontId="12" fillId="0" borderId="0" xfId="1429" quotePrefix="1" applyFont="1" applyAlignment="1">
      <alignment horizontal="center" vertical="center"/>
    </xf>
    <xf numFmtId="38" fontId="12" fillId="0" borderId="1" xfId="1425" quotePrefix="1" applyNumberFormat="1" applyFont="1" applyBorder="1" applyAlignment="1">
      <alignment horizontal="center" wrapText="1"/>
    </xf>
    <xf numFmtId="0" fontId="12" fillId="0" borderId="1" xfId="1425" quotePrefix="1" applyFont="1" applyBorder="1" applyAlignment="1">
      <alignment horizontal="center" wrapText="1"/>
    </xf>
    <xf numFmtId="0" fontId="12" fillId="0" borderId="0" xfId="1425" quotePrefix="1" applyFont="1" applyAlignment="1">
      <alignment horizontal="center" vertical="center"/>
    </xf>
    <xf numFmtId="0" fontId="12" fillId="0" borderId="0" xfId="1425" applyFont="1" applyAlignment="1">
      <alignment horizontal="center" vertical="top"/>
    </xf>
    <xf numFmtId="0" fontId="12" fillId="0" borderId="0" xfId="0" quotePrefix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37" fontId="12" fillId="0" borderId="1" xfId="1426" applyNumberFormat="1" applyFont="1" applyBorder="1" applyAlignment="1">
      <alignment horizontal="center" vertical="center"/>
    </xf>
    <xf numFmtId="37" fontId="12" fillId="0" borderId="0" xfId="0" applyNumberFormat="1" applyFont="1" applyAlignment="1">
      <alignment horizontal="center" vertical="center"/>
    </xf>
    <xf numFmtId="0" fontId="12" fillId="0" borderId="0" xfId="1430" quotePrefix="1" applyFont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37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37" fontId="12" fillId="0" borderId="18" xfId="0" applyNumberFormat="1" applyFont="1" applyBorder="1" applyAlignment="1">
      <alignment horizontal="center" vertical="center"/>
    </xf>
    <xf numFmtId="38" fontId="12" fillId="0" borderId="0" xfId="1426" applyFont="1" applyAlignment="1">
      <alignment horizontal="left" vertical="center"/>
    </xf>
    <xf numFmtId="38" fontId="112" fillId="0" borderId="0" xfId="1426" applyFont="1" applyAlignment="1">
      <alignment horizontal="center" vertical="center"/>
    </xf>
    <xf numFmtId="38" fontId="12" fillId="0" borderId="0" xfId="1431" applyNumberFormat="1" applyFont="1" applyAlignment="1">
      <alignment horizontal="center" vertical="center"/>
    </xf>
    <xf numFmtId="0" fontId="12" fillId="0" borderId="0" xfId="1431" quotePrefix="1" applyFont="1" applyAlignment="1">
      <alignment horizontal="center" vertical="center"/>
    </xf>
    <xf numFmtId="0" fontId="92" fillId="0" borderId="0" xfId="0" applyFont="1" applyAlignment="1">
      <alignment horizontal="left" vertical="center"/>
    </xf>
    <xf numFmtId="0" fontId="92" fillId="0" borderId="0" xfId="0" quotePrefix="1" applyFont="1" applyAlignment="1">
      <alignment horizontal="left"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quotePrefix="1" applyFont="1" applyAlignment="1">
      <alignment horizontal="left" vertical="center"/>
    </xf>
    <xf numFmtId="0" fontId="139" fillId="0" borderId="0" xfId="0" applyFont="1" applyAlignment="1">
      <alignment horizontal="center"/>
    </xf>
    <xf numFmtId="0" fontId="139" fillId="41" borderId="0" xfId="0" applyFont="1" applyFill="1" applyAlignment="1">
      <alignment horizontal="center"/>
    </xf>
    <xf numFmtId="0" fontId="140" fillId="41" borderId="0" xfId="0" applyFont="1" applyFill="1" applyAlignment="1">
      <alignment horizontal="center" wrapText="1"/>
    </xf>
    <xf numFmtId="0" fontId="139" fillId="0" borderId="0" xfId="859" applyFont="1" applyAlignment="1">
      <alignment horizontal="left"/>
    </xf>
    <xf numFmtId="0" fontId="139" fillId="0" borderId="0" xfId="1432" applyFont="1" applyAlignment="1">
      <alignment horizontal="center" vertical="center" wrapText="1"/>
    </xf>
    <xf numFmtId="0" fontId="139" fillId="0" borderId="0" xfId="1432" applyFont="1" applyAlignment="1">
      <alignment horizontal="center" vertical="center"/>
    </xf>
    <xf numFmtId="0" fontId="139" fillId="0" borderId="0" xfId="1432" applyFont="1" applyAlignment="1">
      <alignment horizontal="center"/>
    </xf>
    <xf numFmtId="37" fontId="139" fillId="0" borderId="0" xfId="859" applyNumberFormat="1" applyFont="1" applyAlignment="1">
      <alignment horizontal="right" wrapText="1"/>
    </xf>
    <xf numFmtId="0" fontId="139" fillId="41" borderId="0" xfId="0" applyFont="1" applyFill="1" applyAlignment="1">
      <alignment horizontal="center" wrapText="1"/>
    </xf>
    <xf numFmtId="0" fontId="12" fillId="0" borderId="0" xfId="0" applyFont="1" applyAlignment="1">
      <alignment vertical="top" wrapText="1"/>
    </xf>
    <xf numFmtId="0" fontId="139" fillId="0" borderId="0" xfId="859" applyFont="1" applyAlignment="1">
      <alignment horizontal="left" wrapText="1"/>
    </xf>
    <xf numFmtId="0" fontId="140" fillId="0" borderId="0" xfId="859" applyFont="1" applyAlignment="1">
      <alignment horizontal="center" wrapText="1"/>
    </xf>
    <xf numFmtId="37" fontId="12" fillId="0" borderId="0" xfId="1434" applyFont="1" applyAlignment="1">
      <alignment horizontal="center" vertical="center" wrapText="1"/>
    </xf>
    <xf numFmtId="37" fontId="12" fillId="0" borderId="1" xfId="1434" applyFont="1" applyBorder="1" applyAlignment="1">
      <alignment horizontal="center" vertical="center" wrapText="1"/>
    </xf>
    <xf numFmtId="37" fontId="12" fillId="0" borderId="0" xfId="1434" applyFont="1" applyAlignment="1">
      <alignment horizontal="center" vertical="center"/>
    </xf>
    <xf numFmtId="37" fontId="12" fillId="0" borderId="0" xfId="1434" quotePrefix="1" applyFont="1" applyAlignment="1">
      <alignment horizontal="center" vertical="center"/>
    </xf>
    <xf numFmtId="37" fontId="12" fillId="0" borderId="1" xfId="1434" quotePrefix="1" applyFont="1" applyBorder="1" applyAlignment="1">
      <alignment horizontal="center" vertical="center"/>
    </xf>
  </cellXfs>
  <cellStyles count="1439">
    <cellStyle name="_x0013_" xfId="4" xr:uid="{00000000-0005-0000-0000-000000000000}"/>
    <cellStyle name="_x0013_ 2" xfId="5" xr:uid="{00000000-0005-0000-0000-000001000000}"/>
    <cellStyle name="_x0013_ 3" xfId="6" xr:uid="{00000000-0005-0000-0000-000002000000}"/>
    <cellStyle name="20% - Accent1 2" xfId="7" xr:uid="{00000000-0005-0000-0000-000003000000}"/>
    <cellStyle name="20% - Accent1 3" xfId="8" xr:uid="{00000000-0005-0000-0000-000004000000}"/>
    <cellStyle name="20% - Accent2 2" xfId="9" xr:uid="{00000000-0005-0000-0000-000005000000}"/>
    <cellStyle name="20% - Accent2 3" xfId="10" xr:uid="{00000000-0005-0000-0000-000006000000}"/>
    <cellStyle name="20% - Accent3 2" xfId="11" xr:uid="{00000000-0005-0000-0000-000007000000}"/>
    <cellStyle name="20% - Accent3 3" xfId="12" xr:uid="{00000000-0005-0000-0000-000008000000}"/>
    <cellStyle name="20% - Accent4 2" xfId="13" xr:uid="{00000000-0005-0000-0000-000009000000}"/>
    <cellStyle name="20% - Accent4 3" xfId="14" xr:uid="{00000000-0005-0000-0000-00000A000000}"/>
    <cellStyle name="20% - Accent5 2" xfId="15" xr:uid="{00000000-0005-0000-0000-00000B000000}"/>
    <cellStyle name="20% - Accent5 3" xfId="16" xr:uid="{00000000-0005-0000-0000-00000C000000}"/>
    <cellStyle name="20% - Accent6 2" xfId="17" xr:uid="{00000000-0005-0000-0000-00000D000000}"/>
    <cellStyle name="20% - Accent6 3" xfId="18" xr:uid="{00000000-0005-0000-0000-00000E000000}"/>
    <cellStyle name="40% - Accent1 2" xfId="19" xr:uid="{00000000-0005-0000-0000-00000F000000}"/>
    <cellStyle name="40% - Accent1 3" xfId="20" xr:uid="{00000000-0005-0000-0000-000010000000}"/>
    <cellStyle name="40% - Accent2 2" xfId="21" xr:uid="{00000000-0005-0000-0000-000011000000}"/>
    <cellStyle name="40% - Accent2 3" xfId="22" xr:uid="{00000000-0005-0000-0000-000012000000}"/>
    <cellStyle name="40% - Accent3 2" xfId="23" xr:uid="{00000000-0005-0000-0000-000013000000}"/>
    <cellStyle name="40% - Accent3 3" xfId="24" xr:uid="{00000000-0005-0000-0000-000014000000}"/>
    <cellStyle name="40% - Accent4 2" xfId="25" xr:uid="{00000000-0005-0000-0000-000015000000}"/>
    <cellStyle name="40% - Accent4 3" xfId="26" xr:uid="{00000000-0005-0000-0000-000016000000}"/>
    <cellStyle name="40% - Accent5 2" xfId="27" xr:uid="{00000000-0005-0000-0000-000017000000}"/>
    <cellStyle name="40% - Accent5 3" xfId="28" xr:uid="{00000000-0005-0000-0000-000018000000}"/>
    <cellStyle name="40% - Accent6 2" xfId="29" xr:uid="{00000000-0005-0000-0000-000019000000}"/>
    <cellStyle name="40% - Accent6 3" xfId="30" xr:uid="{00000000-0005-0000-0000-00001A000000}"/>
    <cellStyle name="60% - Accent1 2" xfId="31" xr:uid="{00000000-0005-0000-0000-00001B000000}"/>
    <cellStyle name="60% - Accent1 3" xfId="32" xr:uid="{00000000-0005-0000-0000-00001C000000}"/>
    <cellStyle name="60% - Accent2 2" xfId="33" xr:uid="{00000000-0005-0000-0000-00001D000000}"/>
    <cellStyle name="60% - Accent2 3" xfId="34" xr:uid="{00000000-0005-0000-0000-00001E000000}"/>
    <cellStyle name="60% - Accent3 2" xfId="35" xr:uid="{00000000-0005-0000-0000-00001F000000}"/>
    <cellStyle name="60% - Accent3 3" xfId="36" xr:uid="{00000000-0005-0000-0000-000020000000}"/>
    <cellStyle name="60% - Accent4 2" xfId="37" xr:uid="{00000000-0005-0000-0000-000021000000}"/>
    <cellStyle name="60% - Accent4 3" xfId="38" xr:uid="{00000000-0005-0000-0000-000022000000}"/>
    <cellStyle name="60% - Accent5 2" xfId="39" xr:uid="{00000000-0005-0000-0000-000023000000}"/>
    <cellStyle name="60% - Accent5 3" xfId="40" xr:uid="{00000000-0005-0000-0000-000024000000}"/>
    <cellStyle name="60% - Accent6 2" xfId="41" xr:uid="{00000000-0005-0000-0000-000025000000}"/>
    <cellStyle name="60% - Accent6 3" xfId="42" xr:uid="{00000000-0005-0000-0000-000026000000}"/>
    <cellStyle name="Accent1 2" xfId="43" xr:uid="{00000000-0005-0000-0000-000027000000}"/>
    <cellStyle name="Accent1 3" xfId="44" xr:uid="{00000000-0005-0000-0000-000028000000}"/>
    <cellStyle name="Accent2 2" xfId="45" xr:uid="{00000000-0005-0000-0000-000029000000}"/>
    <cellStyle name="Accent2 3" xfId="46" xr:uid="{00000000-0005-0000-0000-00002A000000}"/>
    <cellStyle name="Accent3 2" xfId="47" xr:uid="{00000000-0005-0000-0000-00002B000000}"/>
    <cellStyle name="Accent3 3" xfId="48" xr:uid="{00000000-0005-0000-0000-00002C000000}"/>
    <cellStyle name="Accent4 2" xfId="49" xr:uid="{00000000-0005-0000-0000-00002D000000}"/>
    <cellStyle name="Accent4 3" xfId="50" xr:uid="{00000000-0005-0000-0000-00002E000000}"/>
    <cellStyle name="Accent5 2" xfId="51" xr:uid="{00000000-0005-0000-0000-00002F000000}"/>
    <cellStyle name="Accent5 3" xfId="52" xr:uid="{00000000-0005-0000-0000-000030000000}"/>
    <cellStyle name="Accent6 2" xfId="53" xr:uid="{00000000-0005-0000-0000-000031000000}"/>
    <cellStyle name="Accent6 3" xfId="54" xr:uid="{00000000-0005-0000-0000-000032000000}"/>
    <cellStyle name="Bad 2" xfId="55" xr:uid="{00000000-0005-0000-0000-000033000000}"/>
    <cellStyle name="Bad 3" xfId="56" xr:uid="{00000000-0005-0000-0000-000034000000}"/>
    <cellStyle name="Border Heavy" xfId="57" xr:uid="{00000000-0005-0000-0000-000035000000}"/>
    <cellStyle name="Border Thin" xfId="58" xr:uid="{00000000-0005-0000-0000-000036000000}"/>
    <cellStyle name="Border Thin 10" xfId="59" xr:uid="{00000000-0005-0000-0000-000037000000}"/>
    <cellStyle name="Border Thin 10 2" xfId="60" xr:uid="{00000000-0005-0000-0000-000038000000}"/>
    <cellStyle name="Border Thin 10 3" xfId="61" xr:uid="{00000000-0005-0000-0000-000039000000}"/>
    <cellStyle name="Border Thin 11" xfId="62" xr:uid="{00000000-0005-0000-0000-00003A000000}"/>
    <cellStyle name="Border Thin 11 2" xfId="63" xr:uid="{00000000-0005-0000-0000-00003B000000}"/>
    <cellStyle name="Border Thin 11 3" xfId="64" xr:uid="{00000000-0005-0000-0000-00003C000000}"/>
    <cellStyle name="Border Thin 12" xfId="65" xr:uid="{00000000-0005-0000-0000-00003D000000}"/>
    <cellStyle name="Border Thin 13" xfId="66" xr:uid="{00000000-0005-0000-0000-00003E000000}"/>
    <cellStyle name="Border Thin 2" xfId="67" xr:uid="{00000000-0005-0000-0000-00003F000000}"/>
    <cellStyle name="Border Thin 2 2" xfId="68" xr:uid="{00000000-0005-0000-0000-000040000000}"/>
    <cellStyle name="Border Thin 2 3" xfId="69" xr:uid="{00000000-0005-0000-0000-000041000000}"/>
    <cellStyle name="Border Thin 3" xfId="70" xr:uid="{00000000-0005-0000-0000-000042000000}"/>
    <cellStyle name="Border Thin 3 2" xfId="71" xr:uid="{00000000-0005-0000-0000-000043000000}"/>
    <cellStyle name="Border Thin 3 3" xfId="72" xr:uid="{00000000-0005-0000-0000-000044000000}"/>
    <cellStyle name="Border Thin 4" xfId="73" xr:uid="{00000000-0005-0000-0000-000045000000}"/>
    <cellStyle name="Border Thin 4 2" xfId="74" xr:uid="{00000000-0005-0000-0000-000046000000}"/>
    <cellStyle name="Border Thin 4 3" xfId="75" xr:uid="{00000000-0005-0000-0000-000047000000}"/>
    <cellStyle name="Border Thin 5" xfId="76" xr:uid="{00000000-0005-0000-0000-000048000000}"/>
    <cellStyle name="Border Thin 5 2" xfId="77" xr:uid="{00000000-0005-0000-0000-000049000000}"/>
    <cellStyle name="Border Thin 5 3" xfId="78" xr:uid="{00000000-0005-0000-0000-00004A000000}"/>
    <cellStyle name="Border Thin 6" xfId="79" xr:uid="{00000000-0005-0000-0000-00004B000000}"/>
    <cellStyle name="Border Thin 6 2" xfId="80" xr:uid="{00000000-0005-0000-0000-00004C000000}"/>
    <cellStyle name="Border Thin 6 3" xfId="81" xr:uid="{00000000-0005-0000-0000-00004D000000}"/>
    <cellStyle name="Border Thin 7" xfId="82" xr:uid="{00000000-0005-0000-0000-00004E000000}"/>
    <cellStyle name="Border Thin 7 2" xfId="83" xr:uid="{00000000-0005-0000-0000-00004F000000}"/>
    <cellStyle name="Border Thin 7 3" xfId="84" xr:uid="{00000000-0005-0000-0000-000050000000}"/>
    <cellStyle name="Border Thin 8" xfId="85" xr:uid="{00000000-0005-0000-0000-000051000000}"/>
    <cellStyle name="Border Thin 8 2" xfId="86" xr:uid="{00000000-0005-0000-0000-000052000000}"/>
    <cellStyle name="Border Thin 8 3" xfId="87" xr:uid="{00000000-0005-0000-0000-000053000000}"/>
    <cellStyle name="Border Thin 9" xfId="88" xr:uid="{00000000-0005-0000-0000-000054000000}"/>
    <cellStyle name="Border Thin 9 2" xfId="89" xr:uid="{00000000-0005-0000-0000-000055000000}"/>
    <cellStyle name="Border Thin 9 3" xfId="90" xr:uid="{00000000-0005-0000-0000-000056000000}"/>
    <cellStyle name="Calc Currency (0)" xfId="91" xr:uid="{00000000-0005-0000-0000-000057000000}"/>
    <cellStyle name="Calc Currency (0) 2" xfId="92" xr:uid="{00000000-0005-0000-0000-000058000000}"/>
    <cellStyle name="Calc Currency (0) 3" xfId="93" xr:uid="{00000000-0005-0000-0000-000059000000}"/>
    <cellStyle name="Calc Currency (2)" xfId="94" xr:uid="{00000000-0005-0000-0000-00005A000000}"/>
    <cellStyle name="Calc Percent (0)" xfId="95" xr:uid="{00000000-0005-0000-0000-00005B000000}"/>
    <cellStyle name="Calc Percent (1)" xfId="96" xr:uid="{00000000-0005-0000-0000-00005C000000}"/>
    <cellStyle name="Calc Percent (2)" xfId="97" xr:uid="{00000000-0005-0000-0000-00005D000000}"/>
    <cellStyle name="Calc Units (0)" xfId="98" xr:uid="{00000000-0005-0000-0000-00005E000000}"/>
    <cellStyle name="Calc Units (1)" xfId="99" xr:uid="{00000000-0005-0000-0000-00005F000000}"/>
    <cellStyle name="Calc Units (2)" xfId="100" xr:uid="{00000000-0005-0000-0000-000060000000}"/>
    <cellStyle name="Calculation 2" xfId="101" xr:uid="{00000000-0005-0000-0000-000061000000}"/>
    <cellStyle name="Calculation 2 2" xfId="102" xr:uid="{00000000-0005-0000-0000-000062000000}"/>
    <cellStyle name="Calculation 2 2 2" xfId="103" xr:uid="{00000000-0005-0000-0000-000063000000}"/>
    <cellStyle name="Calculation 3" xfId="104" xr:uid="{00000000-0005-0000-0000-000064000000}"/>
    <cellStyle name="Calculation 3 2" xfId="105" xr:uid="{00000000-0005-0000-0000-000065000000}"/>
    <cellStyle name="Calculation 3 2 2" xfId="106" xr:uid="{00000000-0005-0000-0000-000066000000}"/>
    <cellStyle name="Calculation 4" xfId="107" xr:uid="{00000000-0005-0000-0000-000067000000}"/>
    <cellStyle name="Calculation 4 2" xfId="108" xr:uid="{00000000-0005-0000-0000-000068000000}"/>
    <cellStyle name="Calculation 4 3" xfId="109" xr:uid="{00000000-0005-0000-0000-000069000000}"/>
    <cellStyle name="Calculation 4 4" xfId="110" xr:uid="{00000000-0005-0000-0000-00006A000000}"/>
    <cellStyle name="Calculation 4 5" xfId="111" xr:uid="{00000000-0005-0000-0000-00006B000000}"/>
    <cellStyle name="Calculation 5" xfId="112" xr:uid="{00000000-0005-0000-0000-00006C000000}"/>
    <cellStyle name="Calculation 5 2" xfId="113" xr:uid="{00000000-0005-0000-0000-00006D000000}"/>
    <cellStyle name="Check Cell 2" xfId="114" xr:uid="{00000000-0005-0000-0000-00006E000000}"/>
    <cellStyle name="Check Cell 3" xfId="115" xr:uid="{00000000-0005-0000-0000-00006F000000}"/>
    <cellStyle name="ColumnAttributeAbovePrompt" xfId="116" xr:uid="{00000000-0005-0000-0000-000070000000}"/>
    <cellStyle name="ColumnAttributePrompt" xfId="117" xr:uid="{00000000-0005-0000-0000-000071000000}"/>
    <cellStyle name="ColumnAttributeValue" xfId="118" xr:uid="{00000000-0005-0000-0000-000072000000}"/>
    <cellStyle name="ColumnHeadingPrompt" xfId="119" xr:uid="{00000000-0005-0000-0000-000073000000}"/>
    <cellStyle name="ColumnHeadingValue" xfId="120" xr:uid="{00000000-0005-0000-0000-000074000000}"/>
    <cellStyle name="Comma" xfId="1" builtinId="3"/>
    <cellStyle name="Comma [00]" xfId="121" xr:uid="{00000000-0005-0000-0000-000076000000}"/>
    <cellStyle name="Comma 10" xfId="122" xr:uid="{00000000-0005-0000-0000-000077000000}"/>
    <cellStyle name="Comma 10 2" xfId="123" xr:uid="{00000000-0005-0000-0000-000078000000}"/>
    <cellStyle name="Comma 10 2 2" xfId="124" xr:uid="{00000000-0005-0000-0000-000079000000}"/>
    <cellStyle name="Comma 10 2 3" xfId="125" xr:uid="{00000000-0005-0000-0000-00007A000000}"/>
    <cellStyle name="Comma 10 3" xfId="126" xr:uid="{00000000-0005-0000-0000-00007B000000}"/>
    <cellStyle name="Comma 10 3 2" xfId="127" xr:uid="{00000000-0005-0000-0000-00007C000000}"/>
    <cellStyle name="Comma 10 3 3" xfId="128" xr:uid="{00000000-0005-0000-0000-00007D000000}"/>
    <cellStyle name="Comma 11" xfId="1117" xr:uid="{00000000-0005-0000-0000-00007E000000}"/>
    <cellStyle name="Comma 11 2" xfId="1322" xr:uid="{00000000-0005-0000-0000-00007F000000}"/>
    <cellStyle name="Comma 12" xfId="1169" xr:uid="{00000000-0005-0000-0000-000080000000}"/>
    <cellStyle name="Comma 12 2" xfId="1427" xr:uid="{8C0A1168-74DD-4BED-A291-07C705868A16}"/>
    <cellStyle name="Comma 13" xfId="1170" xr:uid="{00000000-0005-0000-0000-000081000000}"/>
    <cellStyle name="Comma 14" xfId="1171" xr:uid="{00000000-0005-0000-0000-000082000000}"/>
    <cellStyle name="Comma 15" xfId="1172" xr:uid="{00000000-0005-0000-0000-000083000000}"/>
    <cellStyle name="Comma 16" xfId="1173" xr:uid="{00000000-0005-0000-0000-000084000000}"/>
    <cellStyle name="Comma 17" xfId="1174" xr:uid="{00000000-0005-0000-0000-000085000000}"/>
    <cellStyle name="Comma 18" xfId="1175" xr:uid="{00000000-0005-0000-0000-000086000000}"/>
    <cellStyle name="Comma 19" xfId="1176" xr:uid="{00000000-0005-0000-0000-000087000000}"/>
    <cellStyle name="Comma 2" xfId="129" xr:uid="{00000000-0005-0000-0000-000088000000}"/>
    <cellStyle name="Comma 2 10" xfId="130" xr:uid="{00000000-0005-0000-0000-000089000000}"/>
    <cellStyle name="Comma 2 10 2" xfId="131" xr:uid="{00000000-0005-0000-0000-00008A000000}"/>
    <cellStyle name="Comma 2 10 3" xfId="132" xr:uid="{00000000-0005-0000-0000-00008B000000}"/>
    <cellStyle name="Comma 2 11" xfId="133" xr:uid="{00000000-0005-0000-0000-00008C000000}"/>
    <cellStyle name="Comma 2 12" xfId="134" xr:uid="{00000000-0005-0000-0000-00008D000000}"/>
    <cellStyle name="Comma 2 12 2" xfId="135" xr:uid="{00000000-0005-0000-0000-00008E000000}"/>
    <cellStyle name="Comma 2 12 3" xfId="136" xr:uid="{00000000-0005-0000-0000-00008F000000}"/>
    <cellStyle name="Comma 2 13" xfId="137" xr:uid="{00000000-0005-0000-0000-000090000000}"/>
    <cellStyle name="Comma 2 13 2" xfId="138" xr:uid="{00000000-0005-0000-0000-000091000000}"/>
    <cellStyle name="Comma 2 13 3" xfId="139" xr:uid="{00000000-0005-0000-0000-000092000000}"/>
    <cellStyle name="Comma 2 14" xfId="140" xr:uid="{00000000-0005-0000-0000-000093000000}"/>
    <cellStyle name="Comma 2 14 2" xfId="141" xr:uid="{00000000-0005-0000-0000-000094000000}"/>
    <cellStyle name="Comma 2 14 3" xfId="142" xr:uid="{00000000-0005-0000-0000-000095000000}"/>
    <cellStyle name="Comma 2 15" xfId="143" xr:uid="{00000000-0005-0000-0000-000096000000}"/>
    <cellStyle name="Comma 2 15 2" xfId="144" xr:uid="{00000000-0005-0000-0000-000097000000}"/>
    <cellStyle name="Comma 2 15 3" xfId="145" xr:uid="{00000000-0005-0000-0000-000098000000}"/>
    <cellStyle name="Comma 2 16" xfId="146" xr:uid="{00000000-0005-0000-0000-000099000000}"/>
    <cellStyle name="Comma 2 16 2" xfId="147" xr:uid="{00000000-0005-0000-0000-00009A000000}"/>
    <cellStyle name="Comma 2 16 3" xfId="148" xr:uid="{00000000-0005-0000-0000-00009B000000}"/>
    <cellStyle name="Comma 2 17" xfId="149" xr:uid="{00000000-0005-0000-0000-00009C000000}"/>
    <cellStyle name="Comma 2 17 2" xfId="150" xr:uid="{00000000-0005-0000-0000-00009D000000}"/>
    <cellStyle name="Comma 2 17 3" xfId="151" xr:uid="{00000000-0005-0000-0000-00009E000000}"/>
    <cellStyle name="Comma 2 18" xfId="152" xr:uid="{00000000-0005-0000-0000-00009F000000}"/>
    <cellStyle name="Comma 2 18 2" xfId="153" xr:uid="{00000000-0005-0000-0000-0000A0000000}"/>
    <cellStyle name="Comma 2 18 3" xfId="154" xr:uid="{00000000-0005-0000-0000-0000A1000000}"/>
    <cellStyle name="Comma 2 19" xfId="155" xr:uid="{00000000-0005-0000-0000-0000A2000000}"/>
    <cellStyle name="Comma 2 19 2" xfId="156" xr:uid="{00000000-0005-0000-0000-0000A3000000}"/>
    <cellStyle name="Comma 2 19 3" xfId="157" xr:uid="{00000000-0005-0000-0000-0000A4000000}"/>
    <cellStyle name="Comma 2 2" xfId="158" xr:uid="{00000000-0005-0000-0000-0000A5000000}"/>
    <cellStyle name="Comma 2 2 2" xfId="159" xr:uid="{00000000-0005-0000-0000-0000A6000000}"/>
    <cellStyle name="Comma 2 2 3" xfId="160" xr:uid="{00000000-0005-0000-0000-0000A7000000}"/>
    <cellStyle name="Comma 2 2 4" xfId="161" xr:uid="{00000000-0005-0000-0000-0000A8000000}"/>
    <cellStyle name="Comma 2 2 5" xfId="1422" xr:uid="{00000000-0005-0000-0000-0000A9000000}"/>
    <cellStyle name="Comma 2 20" xfId="162" xr:uid="{00000000-0005-0000-0000-0000AA000000}"/>
    <cellStyle name="Comma 2 20 2" xfId="163" xr:uid="{00000000-0005-0000-0000-0000AB000000}"/>
    <cellStyle name="Comma 2 20 3" xfId="164" xr:uid="{00000000-0005-0000-0000-0000AC000000}"/>
    <cellStyle name="Comma 2 21" xfId="165" xr:uid="{00000000-0005-0000-0000-0000AD000000}"/>
    <cellStyle name="Comma 2 21 2" xfId="166" xr:uid="{00000000-0005-0000-0000-0000AE000000}"/>
    <cellStyle name="Comma 2 21 3" xfId="167" xr:uid="{00000000-0005-0000-0000-0000AF000000}"/>
    <cellStyle name="Comma 2 22" xfId="168" xr:uid="{00000000-0005-0000-0000-0000B0000000}"/>
    <cellStyle name="Comma 2 22 2" xfId="169" xr:uid="{00000000-0005-0000-0000-0000B1000000}"/>
    <cellStyle name="Comma 2 22 3" xfId="170" xr:uid="{00000000-0005-0000-0000-0000B2000000}"/>
    <cellStyle name="Comma 2 23" xfId="171" xr:uid="{00000000-0005-0000-0000-0000B3000000}"/>
    <cellStyle name="Comma 2 23 2" xfId="172" xr:uid="{00000000-0005-0000-0000-0000B4000000}"/>
    <cellStyle name="Comma 2 23 3" xfId="173" xr:uid="{00000000-0005-0000-0000-0000B5000000}"/>
    <cellStyle name="Comma 2 24" xfId="174" xr:uid="{00000000-0005-0000-0000-0000B6000000}"/>
    <cellStyle name="Comma 2 24 2" xfId="175" xr:uid="{00000000-0005-0000-0000-0000B7000000}"/>
    <cellStyle name="Comma 2 24 3" xfId="176" xr:uid="{00000000-0005-0000-0000-0000B8000000}"/>
    <cellStyle name="Comma 2 25" xfId="177" xr:uid="{00000000-0005-0000-0000-0000B9000000}"/>
    <cellStyle name="Comma 2 25 2" xfId="178" xr:uid="{00000000-0005-0000-0000-0000BA000000}"/>
    <cellStyle name="Comma 2 25 3" xfId="179" xr:uid="{00000000-0005-0000-0000-0000BB000000}"/>
    <cellStyle name="Comma 2 26" xfId="180" xr:uid="{00000000-0005-0000-0000-0000BC000000}"/>
    <cellStyle name="Comma 2 26 2" xfId="181" xr:uid="{00000000-0005-0000-0000-0000BD000000}"/>
    <cellStyle name="Comma 2 26 3" xfId="182" xr:uid="{00000000-0005-0000-0000-0000BE000000}"/>
    <cellStyle name="Comma 2 27" xfId="183" xr:uid="{00000000-0005-0000-0000-0000BF000000}"/>
    <cellStyle name="Comma 2 27 2" xfId="184" xr:uid="{00000000-0005-0000-0000-0000C0000000}"/>
    <cellStyle name="Comma 2 27 3" xfId="185" xr:uid="{00000000-0005-0000-0000-0000C1000000}"/>
    <cellStyle name="Comma 2 28" xfId="186" xr:uid="{00000000-0005-0000-0000-0000C2000000}"/>
    <cellStyle name="Comma 2 28 2" xfId="187" xr:uid="{00000000-0005-0000-0000-0000C3000000}"/>
    <cellStyle name="Comma 2 28 3" xfId="188" xr:uid="{00000000-0005-0000-0000-0000C4000000}"/>
    <cellStyle name="Comma 2 29" xfId="189" xr:uid="{00000000-0005-0000-0000-0000C5000000}"/>
    <cellStyle name="Comma 2 29 2" xfId="190" xr:uid="{00000000-0005-0000-0000-0000C6000000}"/>
    <cellStyle name="Comma 2 29 3" xfId="191" xr:uid="{00000000-0005-0000-0000-0000C7000000}"/>
    <cellStyle name="Comma 2 3" xfId="192" xr:uid="{00000000-0005-0000-0000-0000C8000000}"/>
    <cellStyle name="Comma 2 3 2" xfId="193" xr:uid="{00000000-0005-0000-0000-0000C9000000}"/>
    <cellStyle name="Comma 2 3 3" xfId="194" xr:uid="{00000000-0005-0000-0000-0000CA000000}"/>
    <cellStyle name="Comma 2 3 4" xfId="195" xr:uid="{00000000-0005-0000-0000-0000CB000000}"/>
    <cellStyle name="Comma 2 30" xfId="196" xr:uid="{00000000-0005-0000-0000-0000CC000000}"/>
    <cellStyle name="Comma 2 30 2" xfId="197" xr:uid="{00000000-0005-0000-0000-0000CD000000}"/>
    <cellStyle name="Comma 2 30 3" xfId="198" xr:uid="{00000000-0005-0000-0000-0000CE000000}"/>
    <cellStyle name="Comma 2 31" xfId="199" xr:uid="{00000000-0005-0000-0000-0000CF000000}"/>
    <cellStyle name="Comma 2 31 2" xfId="200" xr:uid="{00000000-0005-0000-0000-0000D0000000}"/>
    <cellStyle name="Comma 2 31 3" xfId="201" xr:uid="{00000000-0005-0000-0000-0000D1000000}"/>
    <cellStyle name="Comma 2 32" xfId="202" xr:uid="{00000000-0005-0000-0000-0000D2000000}"/>
    <cellStyle name="Comma 2 32 2" xfId="203" xr:uid="{00000000-0005-0000-0000-0000D3000000}"/>
    <cellStyle name="Comma 2 32 3" xfId="204" xr:uid="{00000000-0005-0000-0000-0000D4000000}"/>
    <cellStyle name="Comma 2 33" xfId="205" xr:uid="{00000000-0005-0000-0000-0000D5000000}"/>
    <cellStyle name="Comma 2 33 2" xfId="206" xr:uid="{00000000-0005-0000-0000-0000D6000000}"/>
    <cellStyle name="Comma 2 33 3" xfId="207" xr:uid="{00000000-0005-0000-0000-0000D7000000}"/>
    <cellStyle name="Comma 2 34" xfId="208" xr:uid="{00000000-0005-0000-0000-0000D8000000}"/>
    <cellStyle name="Comma 2 34 2" xfId="209" xr:uid="{00000000-0005-0000-0000-0000D9000000}"/>
    <cellStyle name="Comma 2 34 3" xfId="210" xr:uid="{00000000-0005-0000-0000-0000DA000000}"/>
    <cellStyle name="Comma 2 35" xfId="211" xr:uid="{00000000-0005-0000-0000-0000DB000000}"/>
    <cellStyle name="Comma 2 35 2" xfId="212" xr:uid="{00000000-0005-0000-0000-0000DC000000}"/>
    <cellStyle name="Comma 2 35 3" xfId="213" xr:uid="{00000000-0005-0000-0000-0000DD000000}"/>
    <cellStyle name="Comma 2 36" xfId="214" xr:uid="{00000000-0005-0000-0000-0000DE000000}"/>
    <cellStyle name="Comma 2 36 2" xfId="215" xr:uid="{00000000-0005-0000-0000-0000DF000000}"/>
    <cellStyle name="Comma 2 36 3" xfId="216" xr:uid="{00000000-0005-0000-0000-0000E0000000}"/>
    <cellStyle name="Comma 2 37" xfId="217" xr:uid="{00000000-0005-0000-0000-0000E1000000}"/>
    <cellStyle name="Comma 2 38" xfId="218" xr:uid="{00000000-0005-0000-0000-0000E2000000}"/>
    <cellStyle name="Comma 2 39" xfId="1177" xr:uid="{00000000-0005-0000-0000-0000E3000000}"/>
    <cellStyle name="Comma 2 4" xfId="219" xr:uid="{00000000-0005-0000-0000-0000E4000000}"/>
    <cellStyle name="Comma 2 4 2" xfId="220" xr:uid="{00000000-0005-0000-0000-0000E5000000}"/>
    <cellStyle name="Comma 2 4 3" xfId="221" xr:uid="{00000000-0005-0000-0000-0000E6000000}"/>
    <cellStyle name="Comma 2 4 4" xfId="222" xr:uid="{00000000-0005-0000-0000-0000E7000000}"/>
    <cellStyle name="Comma 2 40" xfId="1178" xr:uid="{00000000-0005-0000-0000-0000E8000000}"/>
    <cellStyle name="Comma 2 41" xfId="1179" xr:uid="{00000000-0005-0000-0000-0000E9000000}"/>
    <cellStyle name="Comma 2 5" xfId="223" xr:uid="{00000000-0005-0000-0000-0000EA000000}"/>
    <cellStyle name="Comma 2 5 2" xfId="224" xr:uid="{00000000-0005-0000-0000-0000EB000000}"/>
    <cellStyle name="Comma 2 5 3" xfId="225" xr:uid="{00000000-0005-0000-0000-0000EC000000}"/>
    <cellStyle name="Comma 2 6" xfId="226" xr:uid="{00000000-0005-0000-0000-0000ED000000}"/>
    <cellStyle name="Comma 2 6 2" xfId="227" xr:uid="{00000000-0005-0000-0000-0000EE000000}"/>
    <cellStyle name="Comma 2 6 3" xfId="228" xr:uid="{00000000-0005-0000-0000-0000EF000000}"/>
    <cellStyle name="Comma 2 7" xfId="229" xr:uid="{00000000-0005-0000-0000-0000F0000000}"/>
    <cellStyle name="Comma 2 7 2" xfId="230" xr:uid="{00000000-0005-0000-0000-0000F1000000}"/>
    <cellStyle name="Comma 2 7 3" xfId="231" xr:uid="{00000000-0005-0000-0000-0000F2000000}"/>
    <cellStyle name="Comma 2 8" xfId="232" xr:uid="{00000000-0005-0000-0000-0000F3000000}"/>
    <cellStyle name="Comma 2 8 2" xfId="233" xr:uid="{00000000-0005-0000-0000-0000F4000000}"/>
    <cellStyle name="Comma 2 8 3" xfId="234" xr:uid="{00000000-0005-0000-0000-0000F5000000}"/>
    <cellStyle name="Comma 2 9" xfId="235" xr:uid="{00000000-0005-0000-0000-0000F6000000}"/>
    <cellStyle name="Comma 2 9 2" xfId="236" xr:uid="{00000000-0005-0000-0000-0000F7000000}"/>
    <cellStyle name="Comma 2 9 3" xfId="237" xr:uid="{00000000-0005-0000-0000-0000F8000000}"/>
    <cellStyle name="Comma 20" xfId="1180" xr:uid="{00000000-0005-0000-0000-0000F9000000}"/>
    <cellStyle name="Comma 21" xfId="1181" xr:uid="{00000000-0005-0000-0000-0000FA000000}"/>
    <cellStyle name="Comma 22" xfId="1182" xr:uid="{00000000-0005-0000-0000-0000FB000000}"/>
    <cellStyle name="Comma 23" xfId="1183" xr:uid="{00000000-0005-0000-0000-0000FC000000}"/>
    <cellStyle name="Comma 24" xfId="1184" xr:uid="{00000000-0005-0000-0000-0000FD000000}"/>
    <cellStyle name="Comma 25" xfId="1185" xr:uid="{00000000-0005-0000-0000-0000FE000000}"/>
    <cellStyle name="Comma 26" xfId="1186" xr:uid="{00000000-0005-0000-0000-0000FF000000}"/>
    <cellStyle name="Comma 27" xfId="1187" xr:uid="{00000000-0005-0000-0000-000000010000}"/>
    <cellStyle name="Comma 28" xfId="1188" xr:uid="{00000000-0005-0000-0000-000001010000}"/>
    <cellStyle name="Comma 29" xfId="1189" xr:uid="{00000000-0005-0000-0000-000002010000}"/>
    <cellStyle name="Comma 3" xfId="238" xr:uid="{00000000-0005-0000-0000-000003010000}"/>
    <cellStyle name="Comma 3 10" xfId="1323" xr:uid="{00000000-0005-0000-0000-000004010000}"/>
    <cellStyle name="Comma 3 2" xfId="239" xr:uid="{00000000-0005-0000-0000-000005010000}"/>
    <cellStyle name="Comma 3 3" xfId="240" xr:uid="{00000000-0005-0000-0000-000006010000}"/>
    <cellStyle name="Comma 3 3 2" xfId="1324" xr:uid="{00000000-0005-0000-0000-000007010000}"/>
    <cellStyle name="Comma 3 4" xfId="241" xr:uid="{00000000-0005-0000-0000-000008010000}"/>
    <cellStyle name="Comma 3 4 2" xfId="1325" xr:uid="{00000000-0005-0000-0000-000009010000}"/>
    <cellStyle name="Comma 3 5" xfId="242" xr:uid="{00000000-0005-0000-0000-00000A010000}"/>
    <cellStyle name="Comma 3 5 2" xfId="1326" xr:uid="{00000000-0005-0000-0000-00000B010000}"/>
    <cellStyle name="Comma 3 6" xfId="243" xr:uid="{00000000-0005-0000-0000-00000C010000}"/>
    <cellStyle name="Comma 3 6 2" xfId="1327" xr:uid="{00000000-0005-0000-0000-00000D010000}"/>
    <cellStyle name="Comma 3 7" xfId="244" xr:uid="{00000000-0005-0000-0000-00000E010000}"/>
    <cellStyle name="Comma 3 7 2" xfId="1328" xr:uid="{00000000-0005-0000-0000-00000F010000}"/>
    <cellStyle name="Comma 3 8" xfId="245" xr:uid="{00000000-0005-0000-0000-000010010000}"/>
    <cellStyle name="Comma 3 8 2" xfId="1329" xr:uid="{00000000-0005-0000-0000-000011010000}"/>
    <cellStyle name="Comma 3 9" xfId="246" xr:uid="{00000000-0005-0000-0000-000012010000}"/>
    <cellStyle name="Comma 3 9 2" xfId="1330" xr:uid="{00000000-0005-0000-0000-000013010000}"/>
    <cellStyle name="Comma 30" xfId="1190" xr:uid="{00000000-0005-0000-0000-000014010000}"/>
    <cellStyle name="Comma 31" xfId="1191" xr:uid="{00000000-0005-0000-0000-000015010000}"/>
    <cellStyle name="Comma 32" xfId="1192" xr:uid="{00000000-0005-0000-0000-000016010000}"/>
    <cellStyle name="Comma 33" xfId="1193" xr:uid="{00000000-0005-0000-0000-000017010000}"/>
    <cellStyle name="Comma 34" xfId="1194" xr:uid="{00000000-0005-0000-0000-000018010000}"/>
    <cellStyle name="Comma 35" xfId="1195" xr:uid="{00000000-0005-0000-0000-000019010000}"/>
    <cellStyle name="Comma 36" xfId="1196" xr:uid="{00000000-0005-0000-0000-00001A010000}"/>
    <cellStyle name="Comma 37" xfId="1197" xr:uid="{00000000-0005-0000-0000-00001B010000}"/>
    <cellStyle name="Comma 38" xfId="1198" xr:uid="{00000000-0005-0000-0000-00001C010000}"/>
    <cellStyle name="Comma 39" xfId="1199" xr:uid="{00000000-0005-0000-0000-00001D010000}"/>
    <cellStyle name="Comma 4" xfId="247" xr:uid="{00000000-0005-0000-0000-00001E010000}"/>
    <cellStyle name="Comma 4 2" xfId="248" xr:uid="{00000000-0005-0000-0000-00001F010000}"/>
    <cellStyle name="Comma 40" xfId="1200" xr:uid="{00000000-0005-0000-0000-000020010000}"/>
    <cellStyle name="Comma 41" xfId="1201" xr:uid="{00000000-0005-0000-0000-000021010000}"/>
    <cellStyle name="Comma 42" xfId="1202" xr:uid="{00000000-0005-0000-0000-000022010000}"/>
    <cellStyle name="Comma 43" xfId="1203" xr:uid="{00000000-0005-0000-0000-000023010000}"/>
    <cellStyle name="Comma 44" xfId="1204" xr:uid="{00000000-0005-0000-0000-000024010000}"/>
    <cellStyle name="Comma 45" xfId="1205" xr:uid="{00000000-0005-0000-0000-000025010000}"/>
    <cellStyle name="Comma 46" xfId="1206" xr:uid="{00000000-0005-0000-0000-000026010000}"/>
    <cellStyle name="Comma 47" xfId="1207" xr:uid="{00000000-0005-0000-0000-000027010000}"/>
    <cellStyle name="Comma 48" xfId="1208" xr:uid="{00000000-0005-0000-0000-000028010000}"/>
    <cellStyle name="Comma 49" xfId="1209" xr:uid="{00000000-0005-0000-0000-000029010000}"/>
    <cellStyle name="Comma 5" xfId="249" xr:uid="{00000000-0005-0000-0000-00002A010000}"/>
    <cellStyle name="Comma 50" xfId="1210" xr:uid="{00000000-0005-0000-0000-00002B010000}"/>
    <cellStyle name="Comma 51" xfId="1211" xr:uid="{00000000-0005-0000-0000-00002C010000}"/>
    <cellStyle name="Comma 52" xfId="1212" xr:uid="{00000000-0005-0000-0000-00002D010000}"/>
    <cellStyle name="Comma 53" xfId="1213" xr:uid="{00000000-0005-0000-0000-00002E010000}"/>
    <cellStyle name="Comma 54" xfId="1214" xr:uid="{00000000-0005-0000-0000-00002F010000}"/>
    <cellStyle name="Comma 55" xfId="1215" xr:uid="{00000000-0005-0000-0000-000030010000}"/>
    <cellStyle name="Comma 56" xfId="1216" xr:uid="{00000000-0005-0000-0000-000031010000}"/>
    <cellStyle name="Comma 57" xfId="1217" xr:uid="{00000000-0005-0000-0000-000032010000}"/>
    <cellStyle name="Comma 58" xfId="1218" xr:uid="{00000000-0005-0000-0000-000033010000}"/>
    <cellStyle name="Comma 59" xfId="1219" xr:uid="{00000000-0005-0000-0000-000034010000}"/>
    <cellStyle name="Comma 6" xfId="250" xr:uid="{00000000-0005-0000-0000-000035010000}"/>
    <cellStyle name="Comma 60" xfId="1220" xr:uid="{00000000-0005-0000-0000-000036010000}"/>
    <cellStyle name="Comma 61" xfId="1221" xr:uid="{00000000-0005-0000-0000-000037010000}"/>
    <cellStyle name="Comma 62" xfId="1222" xr:uid="{00000000-0005-0000-0000-000038010000}"/>
    <cellStyle name="Comma 63" xfId="1223" xr:uid="{00000000-0005-0000-0000-000039010000}"/>
    <cellStyle name="Comma 64" xfId="1224" xr:uid="{00000000-0005-0000-0000-00003A010000}"/>
    <cellStyle name="Comma 65" xfId="1225" xr:uid="{00000000-0005-0000-0000-00003B010000}"/>
    <cellStyle name="Comma 66" xfId="1226" xr:uid="{00000000-0005-0000-0000-00003C010000}"/>
    <cellStyle name="Comma 67" xfId="1419" xr:uid="{00000000-0005-0000-0000-00003D010000}"/>
    <cellStyle name="Comma 7" xfId="251" xr:uid="{00000000-0005-0000-0000-00003E010000}"/>
    <cellStyle name="Comma 7 2" xfId="252" xr:uid="{00000000-0005-0000-0000-00003F010000}"/>
    <cellStyle name="Comma 7 2 2" xfId="253" xr:uid="{00000000-0005-0000-0000-000040010000}"/>
    <cellStyle name="Comma 7 2 3" xfId="254" xr:uid="{00000000-0005-0000-0000-000041010000}"/>
    <cellStyle name="Comma 7 3" xfId="255" xr:uid="{00000000-0005-0000-0000-000042010000}"/>
    <cellStyle name="Comma 7 3 2" xfId="256" xr:uid="{00000000-0005-0000-0000-000043010000}"/>
    <cellStyle name="Comma 7 3 3" xfId="257" xr:uid="{00000000-0005-0000-0000-000044010000}"/>
    <cellStyle name="Comma 8" xfId="258" xr:uid="{00000000-0005-0000-0000-000045010000}"/>
    <cellStyle name="Comma 8 2" xfId="259" xr:uid="{00000000-0005-0000-0000-000046010000}"/>
    <cellStyle name="Comma 8 2 2" xfId="260" xr:uid="{00000000-0005-0000-0000-000047010000}"/>
    <cellStyle name="Comma 8 2 3" xfId="261" xr:uid="{00000000-0005-0000-0000-000048010000}"/>
    <cellStyle name="Comma 8 3" xfId="262" xr:uid="{00000000-0005-0000-0000-000049010000}"/>
    <cellStyle name="Comma 8 3 2" xfId="263" xr:uid="{00000000-0005-0000-0000-00004A010000}"/>
    <cellStyle name="Comma 8 3 3" xfId="264" xr:uid="{00000000-0005-0000-0000-00004B010000}"/>
    <cellStyle name="Comma 9" xfId="265" xr:uid="{00000000-0005-0000-0000-00004C010000}"/>
    <cellStyle name="Comma 9 2" xfId="266" xr:uid="{00000000-0005-0000-0000-00004D010000}"/>
    <cellStyle name="Comma 9 2 2" xfId="267" xr:uid="{00000000-0005-0000-0000-00004E010000}"/>
    <cellStyle name="Comma 9 2 3" xfId="268" xr:uid="{00000000-0005-0000-0000-00004F010000}"/>
    <cellStyle name="Comma 9 3" xfId="269" xr:uid="{00000000-0005-0000-0000-000050010000}"/>
    <cellStyle name="Comma 9 3 2" xfId="270" xr:uid="{00000000-0005-0000-0000-000051010000}"/>
    <cellStyle name="Comma 9 3 3" xfId="271" xr:uid="{00000000-0005-0000-0000-000052010000}"/>
    <cellStyle name="Currency" xfId="2" builtinId="4"/>
    <cellStyle name="Currency ($)" xfId="272" xr:uid="{00000000-0005-0000-0000-000055010000}"/>
    <cellStyle name="Currency [00]" xfId="273" xr:uid="{00000000-0005-0000-0000-000056010000}"/>
    <cellStyle name="Currency 10" xfId="1227" xr:uid="{00000000-0005-0000-0000-000057010000}"/>
    <cellStyle name="Currency 2" xfId="274" xr:uid="{00000000-0005-0000-0000-000058010000}"/>
    <cellStyle name="Currency 2 10" xfId="275" xr:uid="{00000000-0005-0000-0000-000059010000}"/>
    <cellStyle name="Currency 2 10 2" xfId="276" xr:uid="{00000000-0005-0000-0000-00005A010000}"/>
    <cellStyle name="Currency 2 10 3" xfId="277" xr:uid="{00000000-0005-0000-0000-00005B010000}"/>
    <cellStyle name="Currency 2 11" xfId="278" xr:uid="{00000000-0005-0000-0000-00005C010000}"/>
    <cellStyle name="Currency 2 11 2" xfId="279" xr:uid="{00000000-0005-0000-0000-00005D010000}"/>
    <cellStyle name="Currency 2 11 3" xfId="280" xr:uid="{00000000-0005-0000-0000-00005E010000}"/>
    <cellStyle name="Currency 2 12" xfId="281" xr:uid="{00000000-0005-0000-0000-00005F010000}"/>
    <cellStyle name="Currency 2 12 2" xfId="282" xr:uid="{00000000-0005-0000-0000-000060010000}"/>
    <cellStyle name="Currency 2 12 3" xfId="283" xr:uid="{00000000-0005-0000-0000-000061010000}"/>
    <cellStyle name="Currency 2 13" xfId="284" xr:uid="{00000000-0005-0000-0000-000062010000}"/>
    <cellStyle name="Currency 2 13 2" xfId="285" xr:uid="{00000000-0005-0000-0000-000063010000}"/>
    <cellStyle name="Currency 2 13 3" xfId="286" xr:uid="{00000000-0005-0000-0000-000064010000}"/>
    <cellStyle name="Currency 2 14" xfId="287" xr:uid="{00000000-0005-0000-0000-000065010000}"/>
    <cellStyle name="Currency 2 14 2" xfId="288" xr:uid="{00000000-0005-0000-0000-000066010000}"/>
    <cellStyle name="Currency 2 14 3" xfId="289" xr:uid="{00000000-0005-0000-0000-000067010000}"/>
    <cellStyle name="Currency 2 15" xfId="290" xr:uid="{00000000-0005-0000-0000-000068010000}"/>
    <cellStyle name="Currency 2 15 2" xfId="291" xr:uid="{00000000-0005-0000-0000-000069010000}"/>
    <cellStyle name="Currency 2 15 3" xfId="292" xr:uid="{00000000-0005-0000-0000-00006A010000}"/>
    <cellStyle name="Currency 2 16" xfId="293" xr:uid="{00000000-0005-0000-0000-00006B010000}"/>
    <cellStyle name="Currency 2 16 2" xfId="294" xr:uid="{00000000-0005-0000-0000-00006C010000}"/>
    <cellStyle name="Currency 2 16 3" xfId="295" xr:uid="{00000000-0005-0000-0000-00006D010000}"/>
    <cellStyle name="Currency 2 17" xfId="296" xr:uid="{00000000-0005-0000-0000-00006E010000}"/>
    <cellStyle name="Currency 2 17 2" xfId="297" xr:uid="{00000000-0005-0000-0000-00006F010000}"/>
    <cellStyle name="Currency 2 17 3" xfId="298" xr:uid="{00000000-0005-0000-0000-000070010000}"/>
    <cellStyle name="Currency 2 18" xfId="299" xr:uid="{00000000-0005-0000-0000-000071010000}"/>
    <cellStyle name="Currency 2 18 2" xfId="300" xr:uid="{00000000-0005-0000-0000-000072010000}"/>
    <cellStyle name="Currency 2 18 3" xfId="301" xr:uid="{00000000-0005-0000-0000-000073010000}"/>
    <cellStyle name="Currency 2 19" xfId="302" xr:uid="{00000000-0005-0000-0000-000074010000}"/>
    <cellStyle name="Currency 2 19 2" xfId="303" xr:uid="{00000000-0005-0000-0000-000075010000}"/>
    <cellStyle name="Currency 2 19 3" xfId="304" xr:uid="{00000000-0005-0000-0000-000076010000}"/>
    <cellStyle name="Currency 2 2" xfId="305" xr:uid="{00000000-0005-0000-0000-000077010000}"/>
    <cellStyle name="Currency 2 2 2" xfId="306" xr:uid="{00000000-0005-0000-0000-000078010000}"/>
    <cellStyle name="Currency 2 2 3" xfId="307" xr:uid="{00000000-0005-0000-0000-000079010000}"/>
    <cellStyle name="Currency 2 20" xfId="308" xr:uid="{00000000-0005-0000-0000-00007A010000}"/>
    <cellStyle name="Currency 2 20 2" xfId="309" xr:uid="{00000000-0005-0000-0000-00007B010000}"/>
    <cellStyle name="Currency 2 20 3" xfId="310" xr:uid="{00000000-0005-0000-0000-00007C010000}"/>
    <cellStyle name="Currency 2 21" xfId="311" xr:uid="{00000000-0005-0000-0000-00007D010000}"/>
    <cellStyle name="Currency 2 21 2" xfId="312" xr:uid="{00000000-0005-0000-0000-00007E010000}"/>
    <cellStyle name="Currency 2 21 3" xfId="313" xr:uid="{00000000-0005-0000-0000-00007F010000}"/>
    <cellStyle name="Currency 2 22" xfId="314" xr:uid="{00000000-0005-0000-0000-000080010000}"/>
    <cellStyle name="Currency 2 22 2" xfId="315" xr:uid="{00000000-0005-0000-0000-000081010000}"/>
    <cellStyle name="Currency 2 22 3" xfId="316" xr:uid="{00000000-0005-0000-0000-000082010000}"/>
    <cellStyle name="Currency 2 23" xfId="317" xr:uid="{00000000-0005-0000-0000-000083010000}"/>
    <cellStyle name="Currency 2 23 2" xfId="318" xr:uid="{00000000-0005-0000-0000-000084010000}"/>
    <cellStyle name="Currency 2 23 3" xfId="319" xr:uid="{00000000-0005-0000-0000-000085010000}"/>
    <cellStyle name="Currency 2 24" xfId="320" xr:uid="{00000000-0005-0000-0000-000086010000}"/>
    <cellStyle name="Currency 2 24 2" xfId="321" xr:uid="{00000000-0005-0000-0000-000087010000}"/>
    <cellStyle name="Currency 2 24 3" xfId="322" xr:uid="{00000000-0005-0000-0000-000088010000}"/>
    <cellStyle name="Currency 2 25" xfId="323" xr:uid="{00000000-0005-0000-0000-000089010000}"/>
    <cellStyle name="Currency 2 25 2" xfId="324" xr:uid="{00000000-0005-0000-0000-00008A010000}"/>
    <cellStyle name="Currency 2 25 3" xfId="325" xr:uid="{00000000-0005-0000-0000-00008B010000}"/>
    <cellStyle name="Currency 2 26" xfId="326" xr:uid="{00000000-0005-0000-0000-00008C010000}"/>
    <cellStyle name="Currency 2 26 2" xfId="327" xr:uid="{00000000-0005-0000-0000-00008D010000}"/>
    <cellStyle name="Currency 2 26 3" xfId="328" xr:uid="{00000000-0005-0000-0000-00008E010000}"/>
    <cellStyle name="Currency 2 27" xfId="329" xr:uid="{00000000-0005-0000-0000-00008F010000}"/>
    <cellStyle name="Currency 2 27 2" xfId="330" xr:uid="{00000000-0005-0000-0000-000090010000}"/>
    <cellStyle name="Currency 2 27 3" xfId="331" xr:uid="{00000000-0005-0000-0000-000091010000}"/>
    <cellStyle name="Currency 2 28" xfId="332" xr:uid="{00000000-0005-0000-0000-000092010000}"/>
    <cellStyle name="Currency 2 28 2" xfId="333" xr:uid="{00000000-0005-0000-0000-000093010000}"/>
    <cellStyle name="Currency 2 28 3" xfId="334" xr:uid="{00000000-0005-0000-0000-000094010000}"/>
    <cellStyle name="Currency 2 29" xfId="335" xr:uid="{00000000-0005-0000-0000-000095010000}"/>
    <cellStyle name="Currency 2 3" xfId="336" xr:uid="{00000000-0005-0000-0000-000096010000}"/>
    <cellStyle name="Currency 2 3 2" xfId="337" xr:uid="{00000000-0005-0000-0000-000097010000}"/>
    <cellStyle name="Currency 2 3 3" xfId="338" xr:uid="{00000000-0005-0000-0000-000098010000}"/>
    <cellStyle name="Currency 2 30" xfId="339" xr:uid="{00000000-0005-0000-0000-000099010000}"/>
    <cellStyle name="Currency 2 31" xfId="1228" xr:uid="{00000000-0005-0000-0000-00009A010000}"/>
    <cellStyle name="Currency 2 32" xfId="1229" xr:uid="{00000000-0005-0000-0000-00009B010000}"/>
    <cellStyle name="Currency 2 33" xfId="1230" xr:uid="{00000000-0005-0000-0000-00009C010000}"/>
    <cellStyle name="Currency 2 4" xfId="340" xr:uid="{00000000-0005-0000-0000-00009D010000}"/>
    <cellStyle name="Currency 2 4 2" xfId="341" xr:uid="{00000000-0005-0000-0000-00009E010000}"/>
    <cellStyle name="Currency 2 4 3" xfId="342" xr:uid="{00000000-0005-0000-0000-00009F010000}"/>
    <cellStyle name="Currency 2 5" xfId="343" xr:uid="{00000000-0005-0000-0000-0000A0010000}"/>
    <cellStyle name="Currency 2 5 2" xfId="344" xr:uid="{00000000-0005-0000-0000-0000A1010000}"/>
    <cellStyle name="Currency 2 5 3" xfId="345" xr:uid="{00000000-0005-0000-0000-0000A2010000}"/>
    <cellStyle name="Currency 2 6" xfId="346" xr:uid="{00000000-0005-0000-0000-0000A3010000}"/>
    <cellStyle name="Currency 2 6 2" xfId="347" xr:uid="{00000000-0005-0000-0000-0000A4010000}"/>
    <cellStyle name="Currency 2 6 3" xfId="348" xr:uid="{00000000-0005-0000-0000-0000A5010000}"/>
    <cellStyle name="Currency 2 7" xfId="349" xr:uid="{00000000-0005-0000-0000-0000A6010000}"/>
    <cellStyle name="Currency 2 7 2" xfId="350" xr:uid="{00000000-0005-0000-0000-0000A7010000}"/>
    <cellStyle name="Currency 2 7 3" xfId="351" xr:uid="{00000000-0005-0000-0000-0000A8010000}"/>
    <cellStyle name="Currency 2 8" xfId="352" xr:uid="{00000000-0005-0000-0000-0000A9010000}"/>
    <cellStyle name="Currency 2 8 2" xfId="353" xr:uid="{00000000-0005-0000-0000-0000AA010000}"/>
    <cellStyle name="Currency 2 8 3" xfId="354" xr:uid="{00000000-0005-0000-0000-0000AB010000}"/>
    <cellStyle name="Currency 2 9" xfId="355" xr:uid="{00000000-0005-0000-0000-0000AC010000}"/>
    <cellStyle name="Currency 2 9 2" xfId="356" xr:uid="{00000000-0005-0000-0000-0000AD010000}"/>
    <cellStyle name="Currency 2 9 3" xfId="357" xr:uid="{00000000-0005-0000-0000-0000AE010000}"/>
    <cellStyle name="Currency 3" xfId="358" xr:uid="{00000000-0005-0000-0000-0000AF010000}"/>
    <cellStyle name="Currency 3 2" xfId="359" xr:uid="{00000000-0005-0000-0000-0000B0010000}"/>
    <cellStyle name="Currency 3 3" xfId="360" xr:uid="{00000000-0005-0000-0000-0000B1010000}"/>
    <cellStyle name="Currency 4" xfId="361" xr:uid="{00000000-0005-0000-0000-0000B2010000}"/>
    <cellStyle name="Currency 5" xfId="1115" xr:uid="{00000000-0005-0000-0000-0000B3010000}"/>
    <cellStyle name="Currency 5 2" xfId="1145" xr:uid="{00000000-0005-0000-0000-0000B4010000}"/>
    <cellStyle name="Currency 5 3" xfId="1154" xr:uid="{00000000-0005-0000-0000-0000B5010000}"/>
    <cellStyle name="Currency 5 4" xfId="1331" xr:uid="{00000000-0005-0000-0000-0000B6010000}"/>
    <cellStyle name="Currency 6" xfId="1231" xr:uid="{00000000-0005-0000-0000-0000B7010000}"/>
    <cellStyle name="Currency 7" xfId="362" xr:uid="{00000000-0005-0000-0000-0000B8010000}"/>
    <cellStyle name="Currency 7 2" xfId="363" xr:uid="{00000000-0005-0000-0000-0000B9010000}"/>
    <cellStyle name="Currency 7 2 2" xfId="364" xr:uid="{00000000-0005-0000-0000-0000BA010000}"/>
    <cellStyle name="Currency 7 2 3" xfId="365" xr:uid="{00000000-0005-0000-0000-0000BB010000}"/>
    <cellStyle name="Currency 7 3" xfId="366" xr:uid="{00000000-0005-0000-0000-0000BC010000}"/>
    <cellStyle name="Currency 7 3 2" xfId="367" xr:uid="{00000000-0005-0000-0000-0000BD010000}"/>
    <cellStyle name="Currency 7 3 3" xfId="368" xr:uid="{00000000-0005-0000-0000-0000BE010000}"/>
    <cellStyle name="Currency 7 4" xfId="369" xr:uid="{00000000-0005-0000-0000-0000BF010000}"/>
    <cellStyle name="Currency 7 4 2" xfId="370" xr:uid="{00000000-0005-0000-0000-0000C0010000}"/>
    <cellStyle name="Currency 7 4 3" xfId="371" xr:uid="{00000000-0005-0000-0000-0000C1010000}"/>
    <cellStyle name="Currency 7 5" xfId="372" xr:uid="{00000000-0005-0000-0000-0000C2010000}"/>
    <cellStyle name="Currency 7 5 2" xfId="373" xr:uid="{00000000-0005-0000-0000-0000C3010000}"/>
    <cellStyle name="Currency 7 5 3" xfId="374" xr:uid="{00000000-0005-0000-0000-0000C4010000}"/>
    <cellStyle name="Currency 7 6" xfId="375" xr:uid="{00000000-0005-0000-0000-0000C5010000}"/>
    <cellStyle name="Currency 7 7" xfId="376" xr:uid="{00000000-0005-0000-0000-0000C6010000}"/>
    <cellStyle name="Currency 8" xfId="1232" xr:uid="{00000000-0005-0000-0000-0000C7010000}"/>
    <cellStyle name="Currency 9" xfId="377" xr:uid="{00000000-0005-0000-0000-0000C8010000}"/>
    <cellStyle name="Currency 9 2" xfId="378" xr:uid="{00000000-0005-0000-0000-0000C9010000}"/>
    <cellStyle name="Currency 9 2 2" xfId="379" xr:uid="{00000000-0005-0000-0000-0000CA010000}"/>
    <cellStyle name="Currency 9 2 3" xfId="380" xr:uid="{00000000-0005-0000-0000-0000CB010000}"/>
    <cellStyle name="Currency 9 3" xfId="381" xr:uid="{00000000-0005-0000-0000-0000CC010000}"/>
    <cellStyle name="Currency 9 3 2" xfId="382" xr:uid="{00000000-0005-0000-0000-0000CD010000}"/>
    <cellStyle name="Currency 9 3 3" xfId="383" xr:uid="{00000000-0005-0000-0000-0000CE010000}"/>
    <cellStyle name="Currency 9 4" xfId="384" xr:uid="{00000000-0005-0000-0000-0000CF010000}"/>
    <cellStyle name="Currency 9 4 2" xfId="385" xr:uid="{00000000-0005-0000-0000-0000D0010000}"/>
    <cellStyle name="Currency 9 4 3" xfId="386" xr:uid="{00000000-0005-0000-0000-0000D1010000}"/>
    <cellStyle name="Currency 9 5" xfId="387" xr:uid="{00000000-0005-0000-0000-0000D2010000}"/>
    <cellStyle name="Currency 9 5 2" xfId="388" xr:uid="{00000000-0005-0000-0000-0000D3010000}"/>
    <cellStyle name="Currency 9 5 3" xfId="389" xr:uid="{00000000-0005-0000-0000-0000D4010000}"/>
    <cellStyle name="Currency 9 6" xfId="390" xr:uid="{00000000-0005-0000-0000-0000D5010000}"/>
    <cellStyle name="Currency 9 7" xfId="391" xr:uid="{00000000-0005-0000-0000-0000D6010000}"/>
    <cellStyle name="Date" xfId="392" xr:uid="{00000000-0005-0000-0000-0000D7010000}"/>
    <cellStyle name="Date Short" xfId="393" xr:uid="{00000000-0005-0000-0000-0000D8010000}"/>
    <cellStyle name="down" xfId="394" xr:uid="{00000000-0005-0000-0000-0000D9010000}"/>
    <cellStyle name="down 10" xfId="395" xr:uid="{00000000-0005-0000-0000-0000DA010000}"/>
    <cellStyle name="down 10 2" xfId="1098" xr:uid="{00000000-0005-0000-0000-0000DB010000}"/>
    <cellStyle name="down 10 3" xfId="1103" xr:uid="{00000000-0005-0000-0000-0000DC010000}"/>
    <cellStyle name="down 10 4" xfId="1125" xr:uid="{00000000-0005-0000-0000-0000DD010000}"/>
    <cellStyle name="down 10 5" xfId="1130" xr:uid="{00000000-0005-0000-0000-0000DE010000}"/>
    <cellStyle name="down 10 6" xfId="1332" xr:uid="{00000000-0005-0000-0000-0000DF010000}"/>
    <cellStyle name="down 10 7" xfId="1384" xr:uid="{00000000-0005-0000-0000-0000E0010000}"/>
    <cellStyle name="down 11" xfId="1233" xr:uid="{00000000-0005-0000-0000-0000E1010000}"/>
    <cellStyle name="down 12" xfId="1234" xr:uid="{00000000-0005-0000-0000-0000E2010000}"/>
    <cellStyle name="down 13" xfId="1235" xr:uid="{00000000-0005-0000-0000-0000E3010000}"/>
    <cellStyle name="down 14" xfId="1381" xr:uid="{00000000-0005-0000-0000-0000E4010000}"/>
    <cellStyle name="down 2" xfId="396" xr:uid="{00000000-0005-0000-0000-0000E5010000}"/>
    <cellStyle name="down 2 2" xfId="397" xr:uid="{00000000-0005-0000-0000-0000E6010000}"/>
    <cellStyle name="down 2 3" xfId="398" xr:uid="{00000000-0005-0000-0000-0000E7010000}"/>
    <cellStyle name="down 3" xfId="399" xr:uid="{00000000-0005-0000-0000-0000E8010000}"/>
    <cellStyle name="down 3 2" xfId="400" xr:uid="{00000000-0005-0000-0000-0000E9010000}"/>
    <cellStyle name="down 3 3" xfId="401" xr:uid="{00000000-0005-0000-0000-0000EA010000}"/>
    <cellStyle name="down 4" xfId="402" xr:uid="{00000000-0005-0000-0000-0000EB010000}"/>
    <cellStyle name="down 4 2" xfId="403" xr:uid="{00000000-0005-0000-0000-0000EC010000}"/>
    <cellStyle name="down 4 3" xfId="404" xr:uid="{00000000-0005-0000-0000-0000ED010000}"/>
    <cellStyle name="down 5" xfId="405" xr:uid="{00000000-0005-0000-0000-0000EE010000}"/>
    <cellStyle name="down 5 2" xfId="406" xr:uid="{00000000-0005-0000-0000-0000EF010000}"/>
    <cellStyle name="down 5 3" xfId="407" xr:uid="{00000000-0005-0000-0000-0000F0010000}"/>
    <cellStyle name="down 6" xfId="408" xr:uid="{00000000-0005-0000-0000-0000F1010000}"/>
    <cellStyle name="down 6 2" xfId="409" xr:uid="{00000000-0005-0000-0000-0000F2010000}"/>
    <cellStyle name="down 6 3" xfId="410" xr:uid="{00000000-0005-0000-0000-0000F3010000}"/>
    <cellStyle name="down 7" xfId="411" xr:uid="{00000000-0005-0000-0000-0000F4010000}"/>
    <cellStyle name="down 7 2" xfId="412" xr:uid="{00000000-0005-0000-0000-0000F5010000}"/>
    <cellStyle name="down 7 2 2" xfId="413" xr:uid="{00000000-0005-0000-0000-0000F6010000}"/>
    <cellStyle name="down 7 2 3" xfId="414" xr:uid="{00000000-0005-0000-0000-0000F7010000}"/>
    <cellStyle name="down 7 3" xfId="415" xr:uid="{00000000-0005-0000-0000-0000F8010000}"/>
    <cellStyle name="down 7 3 2" xfId="416" xr:uid="{00000000-0005-0000-0000-0000F9010000}"/>
    <cellStyle name="down 7 3 3" xfId="417" xr:uid="{00000000-0005-0000-0000-0000FA010000}"/>
    <cellStyle name="down 7 4" xfId="418" xr:uid="{00000000-0005-0000-0000-0000FB010000}"/>
    <cellStyle name="down 7 4 2" xfId="419" xr:uid="{00000000-0005-0000-0000-0000FC010000}"/>
    <cellStyle name="down 7 4 3" xfId="420" xr:uid="{00000000-0005-0000-0000-0000FD010000}"/>
    <cellStyle name="down 7 5" xfId="421" xr:uid="{00000000-0005-0000-0000-0000FE010000}"/>
    <cellStyle name="down 7 5 2" xfId="422" xr:uid="{00000000-0005-0000-0000-0000FF010000}"/>
    <cellStyle name="down 7 5 3" xfId="423" xr:uid="{00000000-0005-0000-0000-000000020000}"/>
    <cellStyle name="down 7 6" xfId="424" xr:uid="{00000000-0005-0000-0000-000001020000}"/>
    <cellStyle name="down 7 7" xfId="425" xr:uid="{00000000-0005-0000-0000-000002020000}"/>
    <cellStyle name="down 8" xfId="426" xr:uid="{00000000-0005-0000-0000-000003020000}"/>
    <cellStyle name="down 8 2" xfId="1099" xr:uid="{00000000-0005-0000-0000-000004020000}"/>
    <cellStyle name="down 8 3" xfId="1102" xr:uid="{00000000-0005-0000-0000-000005020000}"/>
    <cellStyle name="down 8 4" xfId="1126" xr:uid="{00000000-0005-0000-0000-000006020000}"/>
    <cellStyle name="down 8 5" xfId="1129" xr:uid="{00000000-0005-0000-0000-000007020000}"/>
    <cellStyle name="down 8 6" xfId="1333" xr:uid="{00000000-0005-0000-0000-000008020000}"/>
    <cellStyle name="down 8 7" xfId="1385" xr:uid="{00000000-0005-0000-0000-000009020000}"/>
    <cellStyle name="down 9" xfId="427" xr:uid="{00000000-0005-0000-0000-00000A020000}"/>
    <cellStyle name="down 9 2" xfId="1100" xr:uid="{00000000-0005-0000-0000-00000B020000}"/>
    <cellStyle name="down 9 3" xfId="1101" xr:uid="{00000000-0005-0000-0000-00000C020000}"/>
    <cellStyle name="down 9 4" xfId="1127" xr:uid="{00000000-0005-0000-0000-00000D020000}"/>
    <cellStyle name="down 9 5" xfId="1128" xr:uid="{00000000-0005-0000-0000-00000E020000}"/>
    <cellStyle name="down 9 6" xfId="1334" xr:uid="{00000000-0005-0000-0000-00000F020000}"/>
    <cellStyle name="down 9 7" xfId="1386" xr:uid="{00000000-0005-0000-0000-000010020000}"/>
    <cellStyle name="Enter Currency (0)" xfId="428" xr:uid="{00000000-0005-0000-0000-000011020000}"/>
    <cellStyle name="Enter Currency (2)" xfId="429" xr:uid="{00000000-0005-0000-0000-000012020000}"/>
    <cellStyle name="Enter Units (0)" xfId="430" xr:uid="{00000000-0005-0000-0000-000013020000}"/>
    <cellStyle name="Enter Units (1)" xfId="431" xr:uid="{00000000-0005-0000-0000-000014020000}"/>
    <cellStyle name="Enter Units (2)" xfId="432" xr:uid="{00000000-0005-0000-0000-000015020000}"/>
    <cellStyle name="Explanatory Text 2" xfId="433" xr:uid="{00000000-0005-0000-0000-000016020000}"/>
    <cellStyle name="Explanatory Text 3" xfId="434" xr:uid="{00000000-0005-0000-0000-000017020000}"/>
    <cellStyle name="Good 2" xfId="435" xr:uid="{00000000-0005-0000-0000-000018020000}"/>
    <cellStyle name="Good 3" xfId="436" xr:uid="{00000000-0005-0000-0000-000019020000}"/>
    <cellStyle name="Header1" xfId="437" xr:uid="{00000000-0005-0000-0000-00001A020000}"/>
    <cellStyle name="Header2" xfId="438" xr:uid="{00000000-0005-0000-0000-00001B020000}"/>
    <cellStyle name="Header2 2" xfId="439" xr:uid="{00000000-0005-0000-0000-00001C020000}"/>
    <cellStyle name="Header2 3" xfId="440" xr:uid="{00000000-0005-0000-0000-00001D020000}"/>
    <cellStyle name="Header2 4" xfId="441" xr:uid="{00000000-0005-0000-0000-00001E020000}"/>
    <cellStyle name="Header2 5" xfId="442" xr:uid="{00000000-0005-0000-0000-00001F020000}"/>
    <cellStyle name="Header2 6" xfId="443" xr:uid="{00000000-0005-0000-0000-000020020000}"/>
    <cellStyle name="Header2 7" xfId="444" xr:uid="{00000000-0005-0000-0000-000021020000}"/>
    <cellStyle name="Heading 1 2" xfId="445" xr:uid="{00000000-0005-0000-0000-000022020000}"/>
    <cellStyle name="Heading 1 3" xfId="446" xr:uid="{00000000-0005-0000-0000-000023020000}"/>
    <cellStyle name="Heading 2 2" xfId="447" xr:uid="{00000000-0005-0000-0000-000024020000}"/>
    <cellStyle name="Heading 2 3" xfId="448" xr:uid="{00000000-0005-0000-0000-000025020000}"/>
    <cellStyle name="Heading 3 2" xfId="449" xr:uid="{00000000-0005-0000-0000-000026020000}"/>
    <cellStyle name="Heading 3 3" xfId="450" xr:uid="{00000000-0005-0000-0000-000027020000}"/>
    <cellStyle name="Heading 4 2" xfId="451" xr:uid="{00000000-0005-0000-0000-000028020000}"/>
    <cellStyle name="Heading 4 3" xfId="452" xr:uid="{00000000-0005-0000-0000-000029020000}"/>
    <cellStyle name="Hyperlink 2" xfId="1433" xr:uid="{1DCF53C3-27B8-4B5C-9E4F-97CBC6556DF2}"/>
    <cellStyle name="Input 2" xfId="453" xr:uid="{00000000-0005-0000-0000-00002A020000}"/>
    <cellStyle name="Input 2 2" xfId="454" xr:uid="{00000000-0005-0000-0000-00002B020000}"/>
    <cellStyle name="Input 2 2 2" xfId="455" xr:uid="{00000000-0005-0000-0000-00002C020000}"/>
    <cellStyle name="Input 3" xfId="456" xr:uid="{00000000-0005-0000-0000-00002D020000}"/>
    <cellStyle name="Input 3 2" xfId="457" xr:uid="{00000000-0005-0000-0000-00002E020000}"/>
    <cellStyle name="Input 3 2 2" xfId="458" xr:uid="{00000000-0005-0000-0000-00002F020000}"/>
    <cellStyle name="Input 4" xfId="459" xr:uid="{00000000-0005-0000-0000-000030020000}"/>
    <cellStyle name="Input 4 2" xfId="460" xr:uid="{00000000-0005-0000-0000-000031020000}"/>
    <cellStyle name="Input 4 3" xfId="461" xr:uid="{00000000-0005-0000-0000-000032020000}"/>
    <cellStyle name="Input 4 4" xfId="462" xr:uid="{00000000-0005-0000-0000-000033020000}"/>
    <cellStyle name="Input 4 5" xfId="463" xr:uid="{00000000-0005-0000-0000-000034020000}"/>
    <cellStyle name="Input 5" xfId="464" xr:uid="{00000000-0005-0000-0000-000035020000}"/>
    <cellStyle name="Input 5 2" xfId="465" xr:uid="{00000000-0005-0000-0000-000036020000}"/>
    <cellStyle name="LineItemPrompt" xfId="466" xr:uid="{00000000-0005-0000-0000-000037020000}"/>
    <cellStyle name="LineItemValue" xfId="467" xr:uid="{00000000-0005-0000-0000-000038020000}"/>
    <cellStyle name="Link Currency (0)" xfId="468" xr:uid="{00000000-0005-0000-0000-000039020000}"/>
    <cellStyle name="Link Currency (2)" xfId="469" xr:uid="{00000000-0005-0000-0000-00003A020000}"/>
    <cellStyle name="Link Units (0)" xfId="470" xr:uid="{00000000-0005-0000-0000-00003B020000}"/>
    <cellStyle name="Link Units (1)" xfId="471" xr:uid="{00000000-0005-0000-0000-00003C020000}"/>
    <cellStyle name="Link Units (2)" xfId="472" xr:uid="{00000000-0005-0000-0000-00003D020000}"/>
    <cellStyle name="Linked Cell 2" xfId="473" xr:uid="{00000000-0005-0000-0000-00003E020000}"/>
    <cellStyle name="Linked Cell 3" xfId="474" xr:uid="{00000000-0005-0000-0000-00003F020000}"/>
    <cellStyle name="LL TOP - DOUBLE LINE AT TOP" xfId="475" xr:uid="{00000000-0005-0000-0000-000040020000}"/>
    <cellStyle name="Multiple" xfId="476" xr:uid="{00000000-0005-0000-0000-000041020000}"/>
    <cellStyle name="Neutral 2" xfId="477" xr:uid="{00000000-0005-0000-0000-000042020000}"/>
    <cellStyle name="Neutral 3" xfId="478" xr:uid="{00000000-0005-0000-0000-000043020000}"/>
    <cellStyle name="Normal" xfId="0" builtinId="0"/>
    <cellStyle name="Normal - Style1" xfId="479" xr:uid="{00000000-0005-0000-0000-000045020000}"/>
    <cellStyle name="Normal 10" xfId="480" xr:uid="{00000000-0005-0000-0000-000046020000}"/>
    <cellStyle name="Normal 10 2" xfId="481" xr:uid="{00000000-0005-0000-0000-000047020000}"/>
    <cellStyle name="Normal 10 2 2" xfId="482" xr:uid="{00000000-0005-0000-0000-000048020000}"/>
    <cellStyle name="Normal 10 2 3" xfId="483" xr:uid="{00000000-0005-0000-0000-000049020000}"/>
    <cellStyle name="Normal 100" xfId="1236" xr:uid="{00000000-0005-0000-0000-00004A020000}"/>
    <cellStyle name="Normal 101" xfId="1237" xr:uid="{00000000-0005-0000-0000-00004B020000}"/>
    <cellStyle name="Normal 102" xfId="1238" xr:uid="{00000000-0005-0000-0000-00004C020000}"/>
    <cellStyle name="Normal 103" xfId="1239" xr:uid="{00000000-0005-0000-0000-00004D020000}"/>
    <cellStyle name="Normal 104" xfId="1240" xr:uid="{00000000-0005-0000-0000-00004E020000}"/>
    <cellStyle name="Normal 104 2" xfId="1426" xr:uid="{BEA611DD-840C-491B-B394-CADBDFF7CB81}"/>
    <cellStyle name="Normal 105" xfId="1241" xr:uid="{00000000-0005-0000-0000-00004F020000}"/>
    <cellStyle name="Normal 105 2" xfId="1434" xr:uid="{693C0944-CDDB-4CBA-A38D-FB72BB4B0DDE}"/>
    <cellStyle name="Normal 106" xfId="1242" xr:uid="{00000000-0005-0000-0000-000050020000}"/>
    <cellStyle name="Normal 107" xfId="1379" xr:uid="{00000000-0005-0000-0000-000051020000}"/>
    <cellStyle name="Normal 108" xfId="1380" xr:uid="{00000000-0005-0000-0000-000052020000}"/>
    <cellStyle name="Normal 109" xfId="1415" xr:uid="{00000000-0005-0000-0000-000053020000}"/>
    <cellStyle name="Normal 11" xfId="484" xr:uid="{00000000-0005-0000-0000-000054020000}"/>
    <cellStyle name="Normal 11 10" xfId="485" xr:uid="{00000000-0005-0000-0000-000055020000}"/>
    <cellStyle name="Normal 11 11" xfId="486" xr:uid="{00000000-0005-0000-0000-000056020000}"/>
    <cellStyle name="Normal 11 2" xfId="487" xr:uid="{00000000-0005-0000-0000-000057020000}"/>
    <cellStyle name="Normal 11 2 2" xfId="488" xr:uid="{00000000-0005-0000-0000-000058020000}"/>
    <cellStyle name="Normal 11 2 3" xfId="489" xr:uid="{00000000-0005-0000-0000-000059020000}"/>
    <cellStyle name="Normal 11 3" xfId="490" xr:uid="{00000000-0005-0000-0000-00005A020000}"/>
    <cellStyle name="Normal 11 3 2" xfId="491" xr:uid="{00000000-0005-0000-0000-00005B020000}"/>
    <cellStyle name="Normal 11 3 3" xfId="492" xr:uid="{00000000-0005-0000-0000-00005C020000}"/>
    <cellStyle name="Normal 11 4" xfId="493" xr:uid="{00000000-0005-0000-0000-00005D020000}"/>
    <cellStyle name="Normal 11 4 2" xfId="494" xr:uid="{00000000-0005-0000-0000-00005E020000}"/>
    <cellStyle name="Normal 11 4 3" xfId="495" xr:uid="{00000000-0005-0000-0000-00005F020000}"/>
    <cellStyle name="Normal 11 5" xfId="496" xr:uid="{00000000-0005-0000-0000-000060020000}"/>
    <cellStyle name="Normal 11 5 2" xfId="497" xr:uid="{00000000-0005-0000-0000-000061020000}"/>
    <cellStyle name="Normal 11 5 3" xfId="498" xr:uid="{00000000-0005-0000-0000-000062020000}"/>
    <cellStyle name="Normal 11 6" xfId="499" xr:uid="{00000000-0005-0000-0000-000063020000}"/>
    <cellStyle name="Normal 11 6 2" xfId="500" xr:uid="{00000000-0005-0000-0000-000064020000}"/>
    <cellStyle name="Normal 11 6 3" xfId="501" xr:uid="{00000000-0005-0000-0000-000065020000}"/>
    <cellStyle name="Normal 11 7" xfId="502" xr:uid="{00000000-0005-0000-0000-000066020000}"/>
    <cellStyle name="Normal 11 7 2" xfId="503" xr:uid="{00000000-0005-0000-0000-000067020000}"/>
    <cellStyle name="Normal 11 7 3" xfId="504" xr:uid="{00000000-0005-0000-0000-000068020000}"/>
    <cellStyle name="Normal 11 8" xfId="505" xr:uid="{00000000-0005-0000-0000-000069020000}"/>
    <cellStyle name="Normal 11 8 2" xfId="506" xr:uid="{00000000-0005-0000-0000-00006A020000}"/>
    <cellStyle name="Normal 11 8 3" xfId="507" xr:uid="{00000000-0005-0000-0000-00006B020000}"/>
    <cellStyle name="Normal 11 9" xfId="508" xr:uid="{00000000-0005-0000-0000-00006C020000}"/>
    <cellStyle name="Normal 11 9 2" xfId="509" xr:uid="{00000000-0005-0000-0000-00006D020000}"/>
    <cellStyle name="Normal 11 9 3" xfId="510" xr:uid="{00000000-0005-0000-0000-00006E020000}"/>
    <cellStyle name="Normal 110" xfId="1416" xr:uid="{00000000-0005-0000-0000-00006F020000}"/>
    <cellStyle name="Normal 111" xfId="1417" xr:uid="{00000000-0005-0000-0000-000070020000}"/>
    <cellStyle name="Normal 112" xfId="1418" xr:uid="{00000000-0005-0000-0000-000071020000}"/>
    <cellStyle name="Normal 12" xfId="511" xr:uid="{00000000-0005-0000-0000-000072020000}"/>
    <cellStyle name="Normal 12 10" xfId="512" xr:uid="{00000000-0005-0000-0000-000073020000}"/>
    <cellStyle name="Normal 12 11" xfId="513" xr:uid="{00000000-0005-0000-0000-000074020000}"/>
    <cellStyle name="Normal 12 2" xfId="514" xr:uid="{00000000-0005-0000-0000-000075020000}"/>
    <cellStyle name="Normal 12 2 2" xfId="515" xr:uid="{00000000-0005-0000-0000-000076020000}"/>
    <cellStyle name="Normal 12 2 3" xfId="516" xr:uid="{00000000-0005-0000-0000-000077020000}"/>
    <cellStyle name="Normal 12 3" xfId="517" xr:uid="{00000000-0005-0000-0000-000078020000}"/>
    <cellStyle name="Normal 12 3 2" xfId="518" xr:uid="{00000000-0005-0000-0000-000079020000}"/>
    <cellStyle name="Normal 12 3 3" xfId="519" xr:uid="{00000000-0005-0000-0000-00007A020000}"/>
    <cellStyle name="Normal 12 4" xfId="520" xr:uid="{00000000-0005-0000-0000-00007B020000}"/>
    <cellStyle name="Normal 12 4 2" xfId="521" xr:uid="{00000000-0005-0000-0000-00007C020000}"/>
    <cellStyle name="Normal 12 4 3" xfId="522" xr:uid="{00000000-0005-0000-0000-00007D020000}"/>
    <cellStyle name="Normal 12 5" xfId="523" xr:uid="{00000000-0005-0000-0000-00007E020000}"/>
    <cellStyle name="Normal 12 5 2" xfId="524" xr:uid="{00000000-0005-0000-0000-00007F020000}"/>
    <cellStyle name="Normal 12 5 3" xfId="525" xr:uid="{00000000-0005-0000-0000-000080020000}"/>
    <cellStyle name="Normal 12 6" xfId="526" xr:uid="{00000000-0005-0000-0000-000081020000}"/>
    <cellStyle name="Normal 12 6 2" xfId="527" xr:uid="{00000000-0005-0000-0000-000082020000}"/>
    <cellStyle name="Normal 12 6 3" xfId="528" xr:uid="{00000000-0005-0000-0000-000083020000}"/>
    <cellStyle name="Normal 12 7" xfId="529" xr:uid="{00000000-0005-0000-0000-000084020000}"/>
    <cellStyle name="Normal 12 7 2" xfId="530" xr:uid="{00000000-0005-0000-0000-000085020000}"/>
    <cellStyle name="Normal 12 7 3" xfId="531" xr:uid="{00000000-0005-0000-0000-000086020000}"/>
    <cellStyle name="Normal 12 8" xfId="532" xr:uid="{00000000-0005-0000-0000-000087020000}"/>
    <cellStyle name="Normal 12 8 2" xfId="533" xr:uid="{00000000-0005-0000-0000-000088020000}"/>
    <cellStyle name="Normal 12 8 3" xfId="534" xr:uid="{00000000-0005-0000-0000-000089020000}"/>
    <cellStyle name="Normal 12 9" xfId="535" xr:uid="{00000000-0005-0000-0000-00008A020000}"/>
    <cellStyle name="Normal 12 9 2" xfId="536" xr:uid="{00000000-0005-0000-0000-00008B020000}"/>
    <cellStyle name="Normal 12 9 3" xfId="537" xr:uid="{00000000-0005-0000-0000-00008C020000}"/>
    <cellStyle name="Normal 13" xfId="538" xr:uid="{00000000-0005-0000-0000-00008D020000}"/>
    <cellStyle name="Normal 13 10" xfId="539" xr:uid="{00000000-0005-0000-0000-00008E020000}"/>
    <cellStyle name="Normal 13 11" xfId="540" xr:uid="{00000000-0005-0000-0000-00008F020000}"/>
    <cellStyle name="Normal 13 2" xfId="541" xr:uid="{00000000-0005-0000-0000-000090020000}"/>
    <cellStyle name="Normal 13 2 2" xfId="542" xr:uid="{00000000-0005-0000-0000-000091020000}"/>
    <cellStyle name="Normal 13 2 3" xfId="543" xr:uid="{00000000-0005-0000-0000-000092020000}"/>
    <cellStyle name="Normal 13 3" xfId="544" xr:uid="{00000000-0005-0000-0000-000093020000}"/>
    <cellStyle name="Normal 13 3 2" xfId="545" xr:uid="{00000000-0005-0000-0000-000094020000}"/>
    <cellStyle name="Normal 13 3 3" xfId="546" xr:uid="{00000000-0005-0000-0000-000095020000}"/>
    <cellStyle name="Normal 13 4" xfId="547" xr:uid="{00000000-0005-0000-0000-000096020000}"/>
    <cellStyle name="Normal 13 4 2" xfId="548" xr:uid="{00000000-0005-0000-0000-000097020000}"/>
    <cellStyle name="Normal 13 4 3" xfId="549" xr:uid="{00000000-0005-0000-0000-000098020000}"/>
    <cellStyle name="Normal 13 5" xfId="550" xr:uid="{00000000-0005-0000-0000-000099020000}"/>
    <cellStyle name="Normal 13 5 2" xfId="551" xr:uid="{00000000-0005-0000-0000-00009A020000}"/>
    <cellStyle name="Normal 13 5 3" xfId="552" xr:uid="{00000000-0005-0000-0000-00009B020000}"/>
    <cellStyle name="Normal 13 6" xfId="553" xr:uid="{00000000-0005-0000-0000-00009C020000}"/>
    <cellStyle name="Normal 13 6 2" xfId="554" xr:uid="{00000000-0005-0000-0000-00009D020000}"/>
    <cellStyle name="Normal 13 6 3" xfId="555" xr:uid="{00000000-0005-0000-0000-00009E020000}"/>
    <cellStyle name="Normal 13 7" xfId="556" xr:uid="{00000000-0005-0000-0000-00009F020000}"/>
    <cellStyle name="Normal 13 7 2" xfId="557" xr:uid="{00000000-0005-0000-0000-0000A0020000}"/>
    <cellStyle name="Normal 13 7 3" xfId="558" xr:uid="{00000000-0005-0000-0000-0000A1020000}"/>
    <cellStyle name="Normal 13 8" xfId="559" xr:uid="{00000000-0005-0000-0000-0000A2020000}"/>
    <cellStyle name="Normal 13 8 2" xfId="560" xr:uid="{00000000-0005-0000-0000-0000A3020000}"/>
    <cellStyle name="Normal 13 8 3" xfId="561" xr:uid="{00000000-0005-0000-0000-0000A4020000}"/>
    <cellStyle name="Normal 13 9" xfId="562" xr:uid="{00000000-0005-0000-0000-0000A5020000}"/>
    <cellStyle name="Normal 13 9 2" xfId="563" xr:uid="{00000000-0005-0000-0000-0000A6020000}"/>
    <cellStyle name="Normal 13 9 3" xfId="564" xr:uid="{00000000-0005-0000-0000-0000A7020000}"/>
    <cellStyle name="Normal 14" xfId="565" xr:uid="{00000000-0005-0000-0000-0000A8020000}"/>
    <cellStyle name="Normal 14 10" xfId="566" xr:uid="{00000000-0005-0000-0000-0000A9020000}"/>
    <cellStyle name="Normal 14 11" xfId="567" xr:uid="{00000000-0005-0000-0000-0000AA020000}"/>
    <cellStyle name="Normal 14 2" xfId="568" xr:uid="{00000000-0005-0000-0000-0000AB020000}"/>
    <cellStyle name="Normal 14 2 2" xfId="569" xr:uid="{00000000-0005-0000-0000-0000AC020000}"/>
    <cellStyle name="Normal 14 2 3" xfId="570" xr:uid="{00000000-0005-0000-0000-0000AD020000}"/>
    <cellStyle name="Normal 14 3" xfId="571" xr:uid="{00000000-0005-0000-0000-0000AE020000}"/>
    <cellStyle name="Normal 14 3 2" xfId="572" xr:uid="{00000000-0005-0000-0000-0000AF020000}"/>
    <cellStyle name="Normal 14 3 3" xfId="573" xr:uid="{00000000-0005-0000-0000-0000B0020000}"/>
    <cellStyle name="Normal 14 4" xfId="574" xr:uid="{00000000-0005-0000-0000-0000B1020000}"/>
    <cellStyle name="Normal 14 4 2" xfId="575" xr:uid="{00000000-0005-0000-0000-0000B2020000}"/>
    <cellStyle name="Normal 14 4 3" xfId="576" xr:uid="{00000000-0005-0000-0000-0000B3020000}"/>
    <cellStyle name="Normal 14 5" xfId="577" xr:uid="{00000000-0005-0000-0000-0000B4020000}"/>
    <cellStyle name="Normal 14 5 2" xfId="578" xr:uid="{00000000-0005-0000-0000-0000B5020000}"/>
    <cellStyle name="Normal 14 5 3" xfId="579" xr:uid="{00000000-0005-0000-0000-0000B6020000}"/>
    <cellStyle name="Normal 14 6" xfId="580" xr:uid="{00000000-0005-0000-0000-0000B7020000}"/>
    <cellStyle name="Normal 14 6 2" xfId="581" xr:uid="{00000000-0005-0000-0000-0000B8020000}"/>
    <cellStyle name="Normal 14 6 3" xfId="582" xr:uid="{00000000-0005-0000-0000-0000B9020000}"/>
    <cellStyle name="Normal 14 7" xfId="583" xr:uid="{00000000-0005-0000-0000-0000BA020000}"/>
    <cellStyle name="Normal 14 7 2" xfId="584" xr:uid="{00000000-0005-0000-0000-0000BB020000}"/>
    <cellStyle name="Normal 14 7 3" xfId="585" xr:uid="{00000000-0005-0000-0000-0000BC020000}"/>
    <cellStyle name="Normal 14 8" xfId="586" xr:uid="{00000000-0005-0000-0000-0000BD020000}"/>
    <cellStyle name="Normal 14 8 2" xfId="587" xr:uid="{00000000-0005-0000-0000-0000BE020000}"/>
    <cellStyle name="Normal 14 8 3" xfId="588" xr:uid="{00000000-0005-0000-0000-0000BF020000}"/>
    <cellStyle name="Normal 14 9" xfId="589" xr:uid="{00000000-0005-0000-0000-0000C0020000}"/>
    <cellStyle name="Normal 14 9 2" xfId="590" xr:uid="{00000000-0005-0000-0000-0000C1020000}"/>
    <cellStyle name="Normal 14 9 3" xfId="591" xr:uid="{00000000-0005-0000-0000-0000C2020000}"/>
    <cellStyle name="Normal 15" xfId="592" xr:uid="{00000000-0005-0000-0000-0000C3020000}"/>
    <cellStyle name="Normal 15 2" xfId="593" xr:uid="{00000000-0005-0000-0000-0000C4020000}"/>
    <cellStyle name="Normal 15 2 2" xfId="594" xr:uid="{00000000-0005-0000-0000-0000C5020000}"/>
    <cellStyle name="Normal 15 2 3" xfId="595" xr:uid="{00000000-0005-0000-0000-0000C6020000}"/>
    <cellStyle name="Normal 15 3" xfId="596" xr:uid="{00000000-0005-0000-0000-0000C7020000}"/>
    <cellStyle name="Normal 15 4" xfId="597" xr:uid="{00000000-0005-0000-0000-0000C8020000}"/>
    <cellStyle name="Normal 16" xfId="598" xr:uid="{00000000-0005-0000-0000-0000C9020000}"/>
    <cellStyle name="Normal 16 2" xfId="599" xr:uid="{00000000-0005-0000-0000-0000CA020000}"/>
    <cellStyle name="Normal 16 3" xfId="600" xr:uid="{00000000-0005-0000-0000-0000CB020000}"/>
    <cellStyle name="Normal 17" xfId="601" xr:uid="{00000000-0005-0000-0000-0000CC020000}"/>
    <cellStyle name="Normal 17 2" xfId="602" xr:uid="{00000000-0005-0000-0000-0000CD020000}"/>
    <cellStyle name="Normal 17 3" xfId="603" xr:uid="{00000000-0005-0000-0000-0000CE020000}"/>
    <cellStyle name="Normal 18" xfId="604" xr:uid="{00000000-0005-0000-0000-0000CF020000}"/>
    <cellStyle name="Normal 18 2" xfId="605" xr:uid="{00000000-0005-0000-0000-0000D0020000}"/>
    <cellStyle name="Normal 18 3" xfId="606" xr:uid="{00000000-0005-0000-0000-0000D1020000}"/>
    <cellStyle name="Normal 19" xfId="607" xr:uid="{00000000-0005-0000-0000-0000D2020000}"/>
    <cellStyle name="Normal 19 2" xfId="608" xr:uid="{00000000-0005-0000-0000-0000D3020000}"/>
    <cellStyle name="Normal 19 3" xfId="609" xr:uid="{00000000-0005-0000-0000-0000D4020000}"/>
    <cellStyle name="Normal 2" xfId="610" xr:uid="{00000000-0005-0000-0000-0000D5020000}"/>
    <cellStyle name="Normal 2 10" xfId="611" xr:uid="{00000000-0005-0000-0000-0000D6020000}"/>
    <cellStyle name="Normal 2 10 2" xfId="612" xr:uid="{00000000-0005-0000-0000-0000D7020000}"/>
    <cellStyle name="Normal 2 10 3" xfId="613" xr:uid="{00000000-0005-0000-0000-0000D8020000}"/>
    <cellStyle name="Normal 2 11" xfId="614" xr:uid="{00000000-0005-0000-0000-0000D9020000}"/>
    <cellStyle name="Normal 2 11 2" xfId="615" xr:uid="{00000000-0005-0000-0000-0000DA020000}"/>
    <cellStyle name="Normal 2 11 3" xfId="616" xr:uid="{00000000-0005-0000-0000-0000DB020000}"/>
    <cellStyle name="Normal 2 12" xfId="617" xr:uid="{00000000-0005-0000-0000-0000DC020000}"/>
    <cellStyle name="Normal 2 13" xfId="618" xr:uid="{00000000-0005-0000-0000-0000DD020000}"/>
    <cellStyle name="Normal 2 13 2" xfId="619" xr:uid="{00000000-0005-0000-0000-0000DE020000}"/>
    <cellStyle name="Normal 2 13 3" xfId="620" xr:uid="{00000000-0005-0000-0000-0000DF020000}"/>
    <cellStyle name="Normal 2 14" xfId="621" xr:uid="{00000000-0005-0000-0000-0000E0020000}"/>
    <cellStyle name="Normal 2 14 2" xfId="622" xr:uid="{00000000-0005-0000-0000-0000E1020000}"/>
    <cellStyle name="Normal 2 14 3" xfId="623" xr:uid="{00000000-0005-0000-0000-0000E2020000}"/>
    <cellStyle name="Normal 2 15" xfId="624" xr:uid="{00000000-0005-0000-0000-0000E3020000}"/>
    <cellStyle name="Normal 2 15 2" xfId="625" xr:uid="{00000000-0005-0000-0000-0000E4020000}"/>
    <cellStyle name="Normal 2 15 3" xfId="626" xr:uid="{00000000-0005-0000-0000-0000E5020000}"/>
    <cellStyle name="Normal 2 16" xfId="627" xr:uid="{00000000-0005-0000-0000-0000E6020000}"/>
    <cellStyle name="Normal 2 16 2" xfId="628" xr:uid="{00000000-0005-0000-0000-0000E7020000}"/>
    <cellStyle name="Normal 2 16 3" xfId="629" xr:uid="{00000000-0005-0000-0000-0000E8020000}"/>
    <cellStyle name="Normal 2 17" xfId="630" xr:uid="{00000000-0005-0000-0000-0000E9020000}"/>
    <cellStyle name="Normal 2 17 2" xfId="631" xr:uid="{00000000-0005-0000-0000-0000EA020000}"/>
    <cellStyle name="Normal 2 17 3" xfId="632" xr:uid="{00000000-0005-0000-0000-0000EB020000}"/>
    <cellStyle name="Normal 2 18" xfId="633" xr:uid="{00000000-0005-0000-0000-0000EC020000}"/>
    <cellStyle name="Normal 2 18 2" xfId="634" xr:uid="{00000000-0005-0000-0000-0000ED020000}"/>
    <cellStyle name="Normal 2 18 3" xfId="635" xr:uid="{00000000-0005-0000-0000-0000EE020000}"/>
    <cellStyle name="Normal 2 19" xfId="636" xr:uid="{00000000-0005-0000-0000-0000EF020000}"/>
    <cellStyle name="Normal 2 19 2" xfId="637" xr:uid="{00000000-0005-0000-0000-0000F0020000}"/>
    <cellStyle name="Normal 2 19 3" xfId="638" xr:uid="{00000000-0005-0000-0000-0000F1020000}"/>
    <cellStyle name="Normal 2 2" xfId="639" xr:uid="{00000000-0005-0000-0000-0000F2020000}"/>
    <cellStyle name="Normal 2 2 2" xfId="640" xr:uid="{00000000-0005-0000-0000-0000F3020000}"/>
    <cellStyle name="Normal 2 2 2 2" xfId="641" xr:uid="{00000000-0005-0000-0000-0000F4020000}"/>
    <cellStyle name="Normal 2 2 2 3" xfId="642" xr:uid="{00000000-0005-0000-0000-0000F5020000}"/>
    <cellStyle name="Normal 2 2 21" xfId="1438" xr:uid="{8E6ED56E-E5B5-4DCF-BC69-DBEF4E488A9C}"/>
    <cellStyle name="Normal 2 2 3" xfId="643" xr:uid="{00000000-0005-0000-0000-0000F6020000}"/>
    <cellStyle name="Normal 2 2 3 2" xfId="644" xr:uid="{00000000-0005-0000-0000-0000F7020000}"/>
    <cellStyle name="Normal 2 2 3 3" xfId="645" xr:uid="{00000000-0005-0000-0000-0000F8020000}"/>
    <cellStyle name="Normal 2 2 4" xfId="646" xr:uid="{00000000-0005-0000-0000-0000F9020000}"/>
    <cellStyle name="Normal 2 2 4 2" xfId="647" xr:uid="{00000000-0005-0000-0000-0000FA020000}"/>
    <cellStyle name="Normal 2 2 4 3" xfId="648" xr:uid="{00000000-0005-0000-0000-0000FB020000}"/>
    <cellStyle name="Normal 2 2 5" xfId="649" xr:uid="{00000000-0005-0000-0000-0000FC020000}"/>
    <cellStyle name="Normal 2 2 5 2" xfId="650" xr:uid="{00000000-0005-0000-0000-0000FD020000}"/>
    <cellStyle name="Normal 2 2 5 3" xfId="651" xr:uid="{00000000-0005-0000-0000-0000FE020000}"/>
    <cellStyle name="Normal 2 2 6" xfId="652" xr:uid="{00000000-0005-0000-0000-0000FF020000}"/>
    <cellStyle name="Normal 2 2 7" xfId="653" xr:uid="{00000000-0005-0000-0000-000000030000}"/>
    <cellStyle name="Normal 2 2 8" xfId="1432" xr:uid="{39D39FC8-5CF9-4127-AE4A-3124A0951412}"/>
    <cellStyle name="Normal 2 2_NGS 2009 O&amp;M Cashflow" xfId="654" xr:uid="{00000000-0005-0000-0000-000001030000}"/>
    <cellStyle name="Normal 2 20" xfId="655" xr:uid="{00000000-0005-0000-0000-000002030000}"/>
    <cellStyle name="Normal 2 20 2" xfId="656" xr:uid="{00000000-0005-0000-0000-000003030000}"/>
    <cellStyle name="Normal 2 20 3" xfId="657" xr:uid="{00000000-0005-0000-0000-000004030000}"/>
    <cellStyle name="Normal 2 21" xfId="658" xr:uid="{00000000-0005-0000-0000-000005030000}"/>
    <cellStyle name="Normal 2 21 2" xfId="659" xr:uid="{00000000-0005-0000-0000-000006030000}"/>
    <cellStyle name="Normal 2 21 3" xfId="660" xr:uid="{00000000-0005-0000-0000-000007030000}"/>
    <cellStyle name="Normal 2 22" xfId="661" xr:uid="{00000000-0005-0000-0000-000008030000}"/>
    <cellStyle name="Normal 2 22 2" xfId="662" xr:uid="{00000000-0005-0000-0000-000009030000}"/>
    <cellStyle name="Normal 2 22 3" xfId="663" xr:uid="{00000000-0005-0000-0000-00000A030000}"/>
    <cellStyle name="Normal 2 23" xfId="664" xr:uid="{00000000-0005-0000-0000-00000B030000}"/>
    <cellStyle name="Normal 2 23 2" xfId="665" xr:uid="{00000000-0005-0000-0000-00000C030000}"/>
    <cellStyle name="Normal 2 23 3" xfId="666" xr:uid="{00000000-0005-0000-0000-00000D030000}"/>
    <cellStyle name="Normal 2 24" xfId="667" xr:uid="{00000000-0005-0000-0000-00000E030000}"/>
    <cellStyle name="Normal 2 24 2" xfId="668" xr:uid="{00000000-0005-0000-0000-00000F030000}"/>
    <cellStyle name="Normal 2 24 3" xfId="669" xr:uid="{00000000-0005-0000-0000-000010030000}"/>
    <cellStyle name="Normal 2 25" xfId="670" xr:uid="{00000000-0005-0000-0000-000011030000}"/>
    <cellStyle name="Normal 2 25 2" xfId="671" xr:uid="{00000000-0005-0000-0000-000012030000}"/>
    <cellStyle name="Normal 2 25 3" xfId="672" xr:uid="{00000000-0005-0000-0000-000013030000}"/>
    <cellStyle name="Normal 2 26" xfId="673" xr:uid="{00000000-0005-0000-0000-000014030000}"/>
    <cellStyle name="Normal 2 26 2" xfId="674" xr:uid="{00000000-0005-0000-0000-000015030000}"/>
    <cellStyle name="Normal 2 26 3" xfId="675" xr:uid="{00000000-0005-0000-0000-000016030000}"/>
    <cellStyle name="Normal 2 27" xfId="676" xr:uid="{00000000-0005-0000-0000-000017030000}"/>
    <cellStyle name="Normal 2 27 2" xfId="677" xr:uid="{00000000-0005-0000-0000-000018030000}"/>
    <cellStyle name="Normal 2 27 3" xfId="678" xr:uid="{00000000-0005-0000-0000-000019030000}"/>
    <cellStyle name="Normal 2 28" xfId="679" xr:uid="{00000000-0005-0000-0000-00001A030000}"/>
    <cellStyle name="Normal 2 28 2" xfId="680" xr:uid="{00000000-0005-0000-0000-00001B030000}"/>
    <cellStyle name="Normal 2 28 3" xfId="681" xr:uid="{00000000-0005-0000-0000-00001C030000}"/>
    <cellStyle name="Normal 2 29" xfId="682" xr:uid="{00000000-0005-0000-0000-00001D030000}"/>
    <cellStyle name="Normal 2 29 2" xfId="683" xr:uid="{00000000-0005-0000-0000-00001E030000}"/>
    <cellStyle name="Normal 2 29 3" xfId="684" xr:uid="{00000000-0005-0000-0000-00001F030000}"/>
    <cellStyle name="Normal 2 3" xfId="685" xr:uid="{00000000-0005-0000-0000-000020030000}"/>
    <cellStyle name="Normal 2 3 15" xfId="1421" xr:uid="{00000000-0005-0000-0000-000021030000}"/>
    <cellStyle name="Normal 2 3 2" xfId="686" xr:uid="{00000000-0005-0000-0000-000022030000}"/>
    <cellStyle name="Normal 2 3 3" xfId="687" xr:uid="{00000000-0005-0000-0000-000023030000}"/>
    <cellStyle name="Normal 2 30" xfId="688" xr:uid="{00000000-0005-0000-0000-000024030000}"/>
    <cellStyle name="Normal 2 30 2" xfId="689" xr:uid="{00000000-0005-0000-0000-000025030000}"/>
    <cellStyle name="Normal 2 30 3" xfId="690" xr:uid="{00000000-0005-0000-0000-000026030000}"/>
    <cellStyle name="Normal 2 31" xfId="691" xr:uid="{00000000-0005-0000-0000-000027030000}"/>
    <cellStyle name="Normal 2 31 2" xfId="692" xr:uid="{00000000-0005-0000-0000-000028030000}"/>
    <cellStyle name="Normal 2 31 3" xfId="693" xr:uid="{00000000-0005-0000-0000-000029030000}"/>
    <cellStyle name="Normal 2 32" xfId="694" xr:uid="{00000000-0005-0000-0000-00002A030000}"/>
    <cellStyle name="Normal 2 32 2" xfId="695" xr:uid="{00000000-0005-0000-0000-00002B030000}"/>
    <cellStyle name="Normal 2 32 3" xfId="696" xr:uid="{00000000-0005-0000-0000-00002C030000}"/>
    <cellStyle name="Normal 2 33" xfId="697" xr:uid="{00000000-0005-0000-0000-00002D030000}"/>
    <cellStyle name="Normal 2 33 2" xfId="698" xr:uid="{00000000-0005-0000-0000-00002E030000}"/>
    <cellStyle name="Normal 2 33 3" xfId="699" xr:uid="{00000000-0005-0000-0000-00002F030000}"/>
    <cellStyle name="Normal 2 34" xfId="700" xr:uid="{00000000-0005-0000-0000-000030030000}"/>
    <cellStyle name="Normal 2 34 2" xfId="701" xr:uid="{00000000-0005-0000-0000-000031030000}"/>
    <cellStyle name="Normal 2 34 3" xfId="702" xr:uid="{00000000-0005-0000-0000-000032030000}"/>
    <cellStyle name="Normal 2 35" xfId="703" xr:uid="{00000000-0005-0000-0000-000033030000}"/>
    <cellStyle name="Normal 2 35 2" xfId="704" xr:uid="{00000000-0005-0000-0000-000034030000}"/>
    <cellStyle name="Normal 2 35 3" xfId="705" xr:uid="{00000000-0005-0000-0000-000035030000}"/>
    <cellStyle name="Normal 2 36" xfId="706" xr:uid="{00000000-0005-0000-0000-000036030000}"/>
    <cellStyle name="Normal 2 36 2" xfId="707" xr:uid="{00000000-0005-0000-0000-000037030000}"/>
    <cellStyle name="Normal 2 36 3" xfId="708" xr:uid="{00000000-0005-0000-0000-000038030000}"/>
    <cellStyle name="Normal 2 37" xfId="709" xr:uid="{00000000-0005-0000-0000-000039030000}"/>
    <cellStyle name="Normal 2 37 2" xfId="710" xr:uid="{00000000-0005-0000-0000-00003A030000}"/>
    <cellStyle name="Normal 2 37 3" xfId="711" xr:uid="{00000000-0005-0000-0000-00003B030000}"/>
    <cellStyle name="Normal 2 38" xfId="712" xr:uid="{00000000-0005-0000-0000-00003C030000}"/>
    <cellStyle name="Normal 2 39" xfId="713" xr:uid="{00000000-0005-0000-0000-00003D030000}"/>
    <cellStyle name="Normal 2 4" xfId="714" xr:uid="{00000000-0005-0000-0000-00003E030000}"/>
    <cellStyle name="Normal 2 4 10" xfId="715" xr:uid="{00000000-0005-0000-0000-00003F030000}"/>
    <cellStyle name="Normal 2 4 11" xfId="716" xr:uid="{00000000-0005-0000-0000-000040030000}"/>
    <cellStyle name="Normal 2 4 2" xfId="717" xr:uid="{00000000-0005-0000-0000-000041030000}"/>
    <cellStyle name="Normal 2 4 3" xfId="718" xr:uid="{00000000-0005-0000-0000-000042030000}"/>
    <cellStyle name="Normal 2 4 3 2" xfId="719" xr:uid="{00000000-0005-0000-0000-000043030000}"/>
    <cellStyle name="Normal 2 4 3 3" xfId="720" xr:uid="{00000000-0005-0000-0000-000044030000}"/>
    <cellStyle name="Normal 2 4 4" xfId="721" xr:uid="{00000000-0005-0000-0000-000045030000}"/>
    <cellStyle name="Normal 2 4 4 2" xfId="722" xr:uid="{00000000-0005-0000-0000-000046030000}"/>
    <cellStyle name="Normal 2 4 4 3" xfId="723" xr:uid="{00000000-0005-0000-0000-000047030000}"/>
    <cellStyle name="Normal 2 4 5" xfId="724" xr:uid="{00000000-0005-0000-0000-000048030000}"/>
    <cellStyle name="Normal 2 4 5 2" xfId="725" xr:uid="{00000000-0005-0000-0000-000049030000}"/>
    <cellStyle name="Normal 2 4 5 3" xfId="726" xr:uid="{00000000-0005-0000-0000-00004A030000}"/>
    <cellStyle name="Normal 2 4 6" xfId="727" xr:uid="{00000000-0005-0000-0000-00004B030000}"/>
    <cellStyle name="Normal 2 4 6 2" xfId="728" xr:uid="{00000000-0005-0000-0000-00004C030000}"/>
    <cellStyle name="Normal 2 4 6 3" xfId="729" xr:uid="{00000000-0005-0000-0000-00004D030000}"/>
    <cellStyle name="Normal 2 4 7" xfId="730" xr:uid="{00000000-0005-0000-0000-00004E030000}"/>
    <cellStyle name="Normal 2 4 7 2" xfId="731" xr:uid="{00000000-0005-0000-0000-00004F030000}"/>
    <cellStyle name="Normal 2 4 7 3" xfId="732" xr:uid="{00000000-0005-0000-0000-000050030000}"/>
    <cellStyle name="Normal 2 4 8" xfId="733" xr:uid="{00000000-0005-0000-0000-000051030000}"/>
    <cellStyle name="Normal 2 4 8 2" xfId="734" xr:uid="{00000000-0005-0000-0000-000052030000}"/>
    <cellStyle name="Normal 2 4 8 3" xfId="735" xr:uid="{00000000-0005-0000-0000-000053030000}"/>
    <cellStyle name="Normal 2 4 9" xfId="736" xr:uid="{00000000-0005-0000-0000-000054030000}"/>
    <cellStyle name="Normal 2 4 9 2" xfId="737" xr:uid="{00000000-0005-0000-0000-000055030000}"/>
    <cellStyle name="Normal 2 4 9 3" xfId="738" xr:uid="{00000000-0005-0000-0000-000056030000}"/>
    <cellStyle name="Normal 2 40" xfId="1383" xr:uid="{00000000-0005-0000-0000-000057030000}"/>
    <cellStyle name="Normal 2 40 2" xfId="1401" xr:uid="{00000000-0005-0000-0000-000058030000}"/>
    <cellStyle name="Normal 2 5" xfId="739" xr:uid="{00000000-0005-0000-0000-000059030000}"/>
    <cellStyle name="Normal 2 5 2" xfId="740" xr:uid="{00000000-0005-0000-0000-00005A030000}"/>
    <cellStyle name="Normal 2 5 3" xfId="741" xr:uid="{00000000-0005-0000-0000-00005B030000}"/>
    <cellStyle name="Normal 2 5 4" xfId="742" xr:uid="{00000000-0005-0000-0000-00005C030000}"/>
    <cellStyle name="Normal 2 51" xfId="1435" xr:uid="{EB9F4964-8AF2-4519-859F-D1296A1C0D3B}"/>
    <cellStyle name="Normal 2 6" xfId="743" xr:uid="{00000000-0005-0000-0000-00005D030000}"/>
    <cellStyle name="Normal 2 6 2" xfId="744" xr:uid="{00000000-0005-0000-0000-00005E030000}"/>
    <cellStyle name="Normal 2 6 3" xfId="745" xr:uid="{00000000-0005-0000-0000-00005F030000}"/>
    <cellStyle name="Normal 2 7" xfId="746" xr:uid="{00000000-0005-0000-0000-000060030000}"/>
    <cellStyle name="Normal 2 7 2" xfId="747" xr:uid="{00000000-0005-0000-0000-000061030000}"/>
    <cellStyle name="Normal 2 7 3" xfId="748" xr:uid="{00000000-0005-0000-0000-000062030000}"/>
    <cellStyle name="Normal 2 8" xfId="749" xr:uid="{00000000-0005-0000-0000-000063030000}"/>
    <cellStyle name="Normal 2 8 2" xfId="750" xr:uid="{00000000-0005-0000-0000-000064030000}"/>
    <cellStyle name="Normal 2 8 3" xfId="751" xr:uid="{00000000-0005-0000-0000-000065030000}"/>
    <cellStyle name="Normal 2 9" xfId="752" xr:uid="{00000000-0005-0000-0000-000066030000}"/>
    <cellStyle name="Normal 2 9 2" xfId="753" xr:uid="{00000000-0005-0000-0000-000067030000}"/>
    <cellStyle name="Normal 2 9 3" xfId="754" xr:uid="{00000000-0005-0000-0000-000068030000}"/>
    <cellStyle name="Normal 2_NGS 2009 O&amp;M Cashflow" xfId="755" xr:uid="{00000000-0005-0000-0000-000069030000}"/>
    <cellStyle name="Normal 20" xfId="756" xr:uid="{00000000-0005-0000-0000-00006A030000}"/>
    <cellStyle name="Normal 20 2" xfId="757" xr:uid="{00000000-0005-0000-0000-00006B030000}"/>
    <cellStyle name="Normal 20 3" xfId="758" xr:uid="{00000000-0005-0000-0000-00006C030000}"/>
    <cellStyle name="Normal 21" xfId="759" xr:uid="{00000000-0005-0000-0000-00006D030000}"/>
    <cellStyle name="Normal 21 2" xfId="760" xr:uid="{00000000-0005-0000-0000-00006E030000}"/>
    <cellStyle name="Normal 21 3" xfId="761" xr:uid="{00000000-0005-0000-0000-00006F030000}"/>
    <cellStyle name="Normal 22" xfId="762" xr:uid="{00000000-0005-0000-0000-000070030000}"/>
    <cellStyle name="Normal 23" xfId="763" xr:uid="{00000000-0005-0000-0000-000071030000}"/>
    <cellStyle name="Normal 23 2" xfId="764" xr:uid="{00000000-0005-0000-0000-000072030000}"/>
    <cellStyle name="Normal 23 3" xfId="765" xr:uid="{00000000-0005-0000-0000-000073030000}"/>
    <cellStyle name="Normal 24" xfId="766" xr:uid="{00000000-0005-0000-0000-000074030000}"/>
    <cellStyle name="Normal 24 2" xfId="767" xr:uid="{00000000-0005-0000-0000-000075030000}"/>
    <cellStyle name="Normal 24 3" xfId="768" xr:uid="{00000000-0005-0000-0000-000076030000}"/>
    <cellStyle name="Normal 25" xfId="769" xr:uid="{00000000-0005-0000-0000-000077030000}"/>
    <cellStyle name="Normal 25 2" xfId="770" xr:uid="{00000000-0005-0000-0000-000078030000}"/>
    <cellStyle name="Normal 25 3" xfId="771" xr:uid="{00000000-0005-0000-0000-000079030000}"/>
    <cellStyle name="Normal 26" xfId="772" xr:uid="{00000000-0005-0000-0000-00007A030000}"/>
    <cellStyle name="Normal 26 2" xfId="773" xr:uid="{00000000-0005-0000-0000-00007B030000}"/>
    <cellStyle name="Normal 26 3" xfId="774" xr:uid="{00000000-0005-0000-0000-00007C030000}"/>
    <cellStyle name="Normal 27" xfId="775" xr:uid="{00000000-0005-0000-0000-00007D030000}"/>
    <cellStyle name="Normal 27 2" xfId="776" xr:uid="{00000000-0005-0000-0000-00007E030000}"/>
    <cellStyle name="Normal 27 3" xfId="777" xr:uid="{00000000-0005-0000-0000-00007F030000}"/>
    <cellStyle name="Normal 28" xfId="778" xr:uid="{00000000-0005-0000-0000-000080030000}"/>
    <cellStyle name="Normal 28 2" xfId="779" xr:uid="{00000000-0005-0000-0000-000081030000}"/>
    <cellStyle name="Normal 28 3" xfId="780" xr:uid="{00000000-0005-0000-0000-000082030000}"/>
    <cellStyle name="Normal 29" xfId="781" xr:uid="{00000000-0005-0000-0000-000083030000}"/>
    <cellStyle name="Normal 294" xfId="1420" xr:uid="{00000000-0005-0000-0000-000084030000}"/>
    <cellStyle name="Normal 294 2" xfId="1428" xr:uid="{FC98F6F2-0BED-4B53-8F89-A08E974517C9}"/>
    <cellStyle name="Normal 3" xfId="782" xr:uid="{00000000-0005-0000-0000-000085030000}"/>
    <cellStyle name="Normal 3 2" xfId="783" xr:uid="{00000000-0005-0000-0000-000086030000}"/>
    <cellStyle name="Normal 3 2 2" xfId="784" xr:uid="{00000000-0005-0000-0000-000087030000}"/>
    <cellStyle name="Normal 3 2 2 2" xfId="785" xr:uid="{00000000-0005-0000-0000-000088030000}"/>
    <cellStyle name="Normal 3 2 2 3" xfId="786" xr:uid="{00000000-0005-0000-0000-000089030000}"/>
    <cellStyle name="Normal 3 2 3" xfId="787" xr:uid="{00000000-0005-0000-0000-00008A030000}"/>
    <cellStyle name="Normal 3 2 4" xfId="788" xr:uid="{00000000-0005-0000-0000-00008B030000}"/>
    <cellStyle name="Normal 3 3" xfId="789" xr:uid="{00000000-0005-0000-0000-00008C030000}"/>
    <cellStyle name="Normal 3 3 2" xfId="790" xr:uid="{00000000-0005-0000-0000-00008D030000}"/>
    <cellStyle name="Normal 3 3 3" xfId="791" xr:uid="{00000000-0005-0000-0000-00008E030000}"/>
    <cellStyle name="Normal 3 4" xfId="792" xr:uid="{00000000-0005-0000-0000-00008F030000}"/>
    <cellStyle name="Normal 3 4 2" xfId="793" xr:uid="{00000000-0005-0000-0000-000090030000}"/>
    <cellStyle name="Normal 3 4 3" xfId="794" xr:uid="{00000000-0005-0000-0000-000091030000}"/>
    <cellStyle name="Normal 3 5" xfId="795" xr:uid="{00000000-0005-0000-0000-000092030000}"/>
    <cellStyle name="Normal 3 5 2" xfId="796" xr:uid="{00000000-0005-0000-0000-000093030000}"/>
    <cellStyle name="Normal 3 5 3" xfId="797" xr:uid="{00000000-0005-0000-0000-000094030000}"/>
    <cellStyle name="Normal 30" xfId="798" xr:uid="{00000000-0005-0000-0000-000095030000}"/>
    <cellStyle name="Normal 30 2" xfId="799" xr:uid="{00000000-0005-0000-0000-000096030000}"/>
    <cellStyle name="Normal 30 2 2" xfId="800" xr:uid="{00000000-0005-0000-0000-000097030000}"/>
    <cellStyle name="Normal 30 2 3" xfId="801" xr:uid="{00000000-0005-0000-0000-000098030000}"/>
    <cellStyle name="Normal 31" xfId="802" xr:uid="{00000000-0005-0000-0000-000099030000}"/>
    <cellStyle name="Normal 31 2" xfId="803" xr:uid="{00000000-0005-0000-0000-00009A030000}"/>
    <cellStyle name="Normal 31 3" xfId="804" xr:uid="{00000000-0005-0000-0000-00009B030000}"/>
    <cellStyle name="Normal 32" xfId="805" xr:uid="{00000000-0005-0000-0000-00009C030000}"/>
    <cellStyle name="Normal 32 2" xfId="806" xr:uid="{00000000-0005-0000-0000-00009D030000}"/>
    <cellStyle name="Normal 32 3" xfId="807" xr:uid="{00000000-0005-0000-0000-00009E030000}"/>
    <cellStyle name="Normal 33" xfId="808" xr:uid="{00000000-0005-0000-0000-00009F030000}"/>
    <cellStyle name="Normal 33 2" xfId="809" xr:uid="{00000000-0005-0000-0000-0000A0030000}"/>
    <cellStyle name="Normal 33 3" xfId="810" xr:uid="{00000000-0005-0000-0000-0000A1030000}"/>
    <cellStyle name="Normal 34" xfId="811" xr:uid="{00000000-0005-0000-0000-0000A2030000}"/>
    <cellStyle name="Normal 34 2" xfId="812" xr:uid="{00000000-0005-0000-0000-0000A3030000}"/>
    <cellStyle name="Normal 34 3" xfId="813" xr:uid="{00000000-0005-0000-0000-0000A4030000}"/>
    <cellStyle name="Normal 35" xfId="814" xr:uid="{00000000-0005-0000-0000-0000A5030000}"/>
    <cellStyle name="Normal 35 2" xfId="815" xr:uid="{00000000-0005-0000-0000-0000A6030000}"/>
    <cellStyle name="Normal 35 3" xfId="816" xr:uid="{00000000-0005-0000-0000-0000A7030000}"/>
    <cellStyle name="Normal 36" xfId="817" xr:uid="{00000000-0005-0000-0000-0000A8030000}"/>
    <cellStyle name="Normal 36 2" xfId="818" xr:uid="{00000000-0005-0000-0000-0000A9030000}"/>
    <cellStyle name="Normal 36 3" xfId="819" xr:uid="{00000000-0005-0000-0000-0000AA030000}"/>
    <cellStyle name="Normal 37" xfId="820" xr:uid="{00000000-0005-0000-0000-0000AB030000}"/>
    <cellStyle name="Normal 38" xfId="821" xr:uid="{00000000-0005-0000-0000-0000AC030000}"/>
    <cellStyle name="Normal 38 2" xfId="822" xr:uid="{00000000-0005-0000-0000-0000AD030000}"/>
    <cellStyle name="Normal 38 2 2" xfId="823" xr:uid="{00000000-0005-0000-0000-0000AE030000}"/>
    <cellStyle name="Normal 38 2 3" xfId="824" xr:uid="{00000000-0005-0000-0000-0000AF030000}"/>
    <cellStyle name="Normal 38 3" xfId="825" xr:uid="{00000000-0005-0000-0000-0000B0030000}"/>
    <cellStyle name="Normal 38 4" xfId="826" xr:uid="{00000000-0005-0000-0000-0000B1030000}"/>
    <cellStyle name="Normal 39" xfId="827" xr:uid="{00000000-0005-0000-0000-0000B2030000}"/>
    <cellStyle name="Normal 39 2" xfId="828" xr:uid="{00000000-0005-0000-0000-0000B3030000}"/>
    <cellStyle name="Normal 39 3" xfId="829" xr:uid="{00000000-0005-0000-0000-0000B4030000}"/>
    <cellStyle name="Normal 4" xfId="830" xr:uid="{00000000-0005-0000-0000-0000B5030000}"/>
    <cellStyle name="Normal 4 2" xfId="831" xr:uid="{00000000-0005-0000-0000-0000B6030000}"/>
    <cellStyle name="Normal 4 3" xfId="832" xr:uid="{00000000-0005-0000-0000-0000B7030000}"/>
    <cellStyle name="Normal 40" xfId="833" xr:uid="{00000000-0005-0000-0000-0000B8030000}"/>
    <cellStyle name="Normal 40 2" xfId="834" xr:uid="{00000000-0005-0000-0000-0000B9030000}"/>
    <cellStyle name="Normal 40 3" xfId="835" xr:uid="{00000000-0005-0000-0000-0000BA030000}"/>
    <cellStyle name="Normal 41" xfId="836" xr:uid="{00000000-0005-0000-0000-0000BB030000}"/>
    <cellStyle name="Normal 41 2" xfId="837" xr:uid="{00000000-0005-0000-0000-0000BC030000}"/>
    <cellStyle name="Normal 41 3" xfId="838" xr:uid="{00000000-0005-0000-0000-0000BD030000}"/>
    <cellStyle name="Normal 42" xfId="839" xr:uid="{00000000-0005-0000-0000-0000BE030000}"/>
    <cellStyle name="Normal 42 2" xfId="840" xr:uid="{00000000-0005-0000-0000-0000BF030000}"/>
    <cellStyle name="Normal 42 3" xfId="841" xr:uid="{00000000-0005-0000-0000-0000C0030000}"/>
    <cellStyle name="Normal 43" xfId="842" xr:uid="{00000000-0005-0000-0000-0000C1030000}"/>
    <cellStyle name="Normal 43 2" xfId="843" xr:uid="{00000000-0005-0000-0000-0000C2030000}"/>
    <cellStyle name="Normal 44" xfId="844" xr:uid="{00000000-0005-0000-0000-0000C3030000}"/>
    <cellStyle name="Normal 44 2" xfId="845" xr:uid="{00000000-0005-0000-0000-0000C4030000}"/>
    <cellStyle name="Normal 44 3" xfId="846" xr:uid="{00000000-0005-0000-0000-0000C5030000}"/>
    <cellStyle name="Normal 45" xfId="847" xr:uid="{00000000-0005-0000-0000-0000C6030000}"/>
    <cellStyle name="Normal 45 2" xfId="848" xr:uid="{00000000-0005-0000-0000-0000C7030000}"/>
    <cellStyle name="Normal 45 2 2" xfId="1105" xr:uid="{00000000-0005-0000-0000-0000C8030000}"/>
    <cellStyle name="Normal 45 2 2 2" xfId="1141" xr:uid="{00000000-0005-0000-0000-0000C9030000}"/>
    <cellStyle name="Normal 45 2 2 2 2" xfId="1338" xr:uid="{00000000-0005-0000-0000-0000CA030000}"/>
    <cellStyle name="Normal 45 2 2 2 3" xfId="1410" xr:uid="{00000000-0005-0000-0000-0000CB030000}"/>
    <cellStyle name="Normal 45 2 2 2_Rev Exp" xfId="1243" xr:uid="{00000000-0005-0000-0000-0000CC030000}"/>
    <cellStyle name="Normal 45 2 2 3" xfId="1150" xr:uid="{00000000-0005-0000-0000-0000CD030000}"/>
    <cellStyle name="Normal 45 2 2 3 2" xfId="1339" xr:uid="{00000000-0005-0000-0000-0000CE030000}"/>
    <cellStyle name="Normal 45 2 2 3_Rev Exp" xfId="1244" xr:uid="{00000000-0005-0000-0000-0000CF030000}"/>
    <cellStyle name="Normal 45 2 2 4" xfId="1337" xr:uid="{00000000-0005-0000-0000-0000D0030000}"/>
    <cellStyle name="Normal 45 2 2 5" xfId="1397" xr:uid="{00000000-0005-0000-0000-0000D1030000}"/>
    <cellStyle name="Normal 45 2 2_IS" xfId="1157" xr:uid="{00000000-0005-0000-0000-0000D2030000}"/>
    <cellStyle name="Normal 45 2 3" xfId="1096" xr:uid="{00000000-0005-0000-0000-0000D3030000}"/>
    <cellStyle name="Normal 45 2 3 2" xfId="1138" xr:uid="{00000000-0005-0000-0000-0000D4030000}"/>
    <cellStyle name="Normal 45 2 3 2 2" xfId="1341" xr:uid="{00000000-0005-0000-0000-0000D5030000}"/>
    <cellStyle name="Normal 45 2 3 2 3" xfId="1407" xr:uid="{00000000-0005-0000-0000-0000D6030000}"/>
    <cellStyle name="Normal 45 2 3 2_Rev Exp" xfId="1245" xr:uid="{00000000-0005-0000-0000-0000D7030000}"/>
    <cellStyle name="Normal 45 2 3 3" xfId="1147" xr:uid="{00000000-0005-0000-0000-0000D8030000}"/>
    <cellStyle name="Normal 45 2 3 3 2" xfId="1342" xr:uid="{00000000-0005-0000-0000-0000D9030000}"/>
    <cellStyle name="Normal 45 2 3 3_Rev Exp" xfId="1246" xr:uid="{00000000-0005-0000-0000-0000DA030000}"/>
    <cellStyle name="Normal 45 2 3 4" xfId="1340" xr:uid="{00000000-0005-0000-0000-0000DB030000}"/>
    <cellStyle name="Normal 45 2 3 5" xfId="1394" xr:uid="{00000000-0005-0000-0000-0000DC030000}"/>
    <cellStyle name="Normal 45 2 3_IS" xfId="1158" xr:uid="{00000000-0005-0000-0000-0000DD030000}"/>
    <cellStyle name="Normal 45 2 4" xfId="1132" xr:uid="{00000000-0005-0000-0000-0000DE030000}"/>
    <cellStyle name="Normal 45 2 4 2" xfId="1343" xr:uid="{00000000-0005-0000-0000-0000DF030000}"/>
    <cellStyle name="Normal 45 2 4 3" xfId="1403" xr:uid="{00000000-0005-0000-0000-0000E0030000}"/>
    <cellStyle name="Normal 45 2 4_Rev Exp" xfId="1247" xr:uid="{00000000-0005-0000-0000-0000E1030000}"/>
    <cellStyle name="Normal 45 2 5" xfId="1123" xr:uid="{00000000-0005-0000-0000-0000E2030000}"/>
    <cellStyle name="Normal 45 2 5 2" xfId="1344" xr:uid="{00000000-0005-0000-0000-0000E3030000}"/>
    <cellStyle name="Normal 45 2 5_Rev Exp" xfId="1248" xr:uid="{00000000-0005-0000-0000-0000E4030000}"/>
    <cellStyle name="Normal 45 2 6" xfId="1336" xr:uid="{00000000-0005-0000-0000-0000E5030000}"/>
    <cellStyle name="Normal 45 2 7" xfId="1388" xr:uid="{00000000-0005-0000-0000-0000E6030000}"/>
    <cellStyle name="Normal 45 2_IS" xfId="1156" xr:uid="{00000000-0005-0000-0000-0000E7030000}"/>
    <cellStyle name="Normal 45 3" xfId="849" xr:uid="{00000000-0005-0000-0000-0000E8030000}"/>
    <cellStyle name="Normal 45 3 2" xfId="1106" xr:uid="{00000000-0005-0000-0000-0000E9030000}"/>
    <cellStyle name="Normal 45 3 2 2" xfId="1142" xr:uid="{00000000-0005-0000-0000-0000EA030000}"/>
    <cellStyle name="Normal 45 3 2 2 2" xfId="1347" xr:uid="{00000000-0005-0000-0000-0000EB030000}"/>
    <cellStyle name="Normal 45 3 2 2 3" xfId="1411" xr:uid="{00000000-0005-0000-0000-0000EC030000}"/>
    <cellStyle name="Normal 45 3 2 2_Rev Exp" xfId="1249" xr:uid="{00000000-0005-0000-0000-0000ED030000}"/>
    <cellStyle name="Normal 45 3 2 3" xfId="1151" xr:uid="{00000000-0005-0000-0000-0000EE030000}"/>
    <cellStyle name="Normal 45 3 2 3 2" xfId="1348" xr:uid="{00000000-0005-0000-0000-0000EF030000}"/>
    <cellStyle name="Normal 45 3 2 3_Rev Exp" xfId="1250" xr:uid="{00000000-0005-0000-0000-0000F0030000}"/>
    <cellStyle name="Normal 45 3 2 4" xfId="1346" xr:uid="{00000000-0005-0000-0000-0000F1030000}"/>
    <cellStyle name="Normal 45 3 2 5" xfId="1398" xr:uid="{00000000-0005-0000-0000-0000F2030000}"/>
    <cellStyle name="Normal 45 3 2_IS" xfId="1160" xr:uid="{00000000-0005-0000-0000-0000F3030000}"/>
    <cellStyle name="Normal 45 3 3" xfId="1095" xr:uid="{00000000-0005-0000-0000-0000F4030000}"/>
    <cellStyle name="Normal 45 3 3 2" xfId="1137" xr:uid="{00000000-0005-0000-0000-0000F5030000}"/>
    <cellStyle name="Normal 45 3 3 2 2" xfId="1350" xr:uid="{00000000-0005-0000-0000-0000F6030000}"/>
    <cellStyle name="Normal 45 3 3 2 3" xfId="1406" xr:uid="{00000000-0005-0000-0000-0000F7030000}"/>
    <cellStyle name="Normal 45 3 3 2_Rev Exp" xfId="1251" xr:uid="{00000000-0005-0000-0000-0000F8030000}"/>
    <cellStyle name="Normal 45 3 3 3" xfId="1146" xr:uid="{00000000-0005-0000-0000-0000F9030000}"/>
    <cellStyle name="Normal 45 3 3 3 2" xfId="1351" xr:uid="{00000000-0005-0000-0000-0000FA030000}"/>
    <cellStyle name="Normal 45 3 3 3_Rev Exp" xfId="1252" xr:uid="{00000000-0005-0000-0000-0000FB030000}"/>
    <cellStyle name="Normal 45 3 3 4" xfId="1349" xr:uid="{00000000-0005-0000-0000-0000FC030000}"/>
    <cellStyle name="Normal 45 3 3 5" xfId="1393" xr:uid="{00000000-0005-0000-0000-0000FD030000}"/>
    <cellStyle name="Normal 45 3 3_IS" xfId="1161" xr:uid="{00000000-0005-0000-0000-0000FE030000}"/>
    <cellStyle name="Normal 45 3 4" xfId="1133" xr:uid="{00000000-0005-0000-0000-0000FF030000}"/>
    <cellStyle name="Normal 45 3 4 2" xfId="1352" xr:uid="{00000000-0005-0000-0000-000000040000}"/>
    <cellStyle name="Normal 45 3 4 3" xfId="1404" xr:uid="{00000000-0005-0000-0000-000001040000}"/>
    <cellStyle name="Normal 45 3 4_Rev Exp" xfId="1253" xr:uid="{00000000-0005-0000-0000-000002040000}"/>
    <cellStyle name="Normal 45 3 5" xfId="1122" xr:uid="{00000000-0005-0000-0000-000003040000}"/>
    <cellStyle name="Normal 45 3 5 2" xfId="1353" xr:uid="{00000000-0005-0000-0000-000004040000}"/>
    <cellStyle name="Normal 45 3 5_Rev Exp" xfId="1254" xr:uid="{00000000-0005-0000-0000-000005040000}"/>
    <cellStyle name="Normal 45 3 6" xfId="1345" xr:uid="{00000000-0005-0000-0000-000006040000}"/>
    <cellStyle name="Normal 45 3 7" xfId="1389" xr:uid="{00000000-0005-0000-0000-000007040000}"/>
    <cellStyle name="Normal 45 3_IS" xfId="1159" xr:uid="{00000000-0005-0000-0000-000008040000}"/>
    <cellStyle name="Normal 45 4" xfId="1104" xr:uid="{00000000-0005-0000-0000-000009040000}"/>
    <cellStyle name="Normal 45 4 2" xfId="1140" xr:uid="{00000000-0005-0000-0000-00000A040000}"/>
    <cellStyle name="Normal 45 4 2 2" xfId="1355" xr:uid="{00000000-0005-0000-0000-00000B040000}"/>
    <cellStyle name="Normal 45 4 2 3" xfId="1409" xr:uid="{00000000-0005-0000-0000-00000C040000}"/>
    <cellStyle name="Normal 45 4 2_Rev Exp" xfId="1255" xr:uid="{00000000-0005-0000-0000-00000D040000}"/>
    <cellStyle name="Normal 45 4 3" xfId="1149" xr:uid="{00000000-0005-0000-0000-00000E040000}"/>
    <cellStyle name="Normal 45 4 3 2" xfId="1356" xr:uid="{00000000-0005-0000-0000-00000F040000}"/>
    <cellStyle name="Normal 45 4 3_Rev Exp" xfId="1256" xr:uid="{00000000-0005-0000-0000-000010040000}"/>
    <cellStyle name="Normal 45 4 4" xfId="1354" xr:uid="{00000000-0005-0000-0000-000011040000}"/>
    <cellStyle name="Normal 45 4 5" xfId="1396" xr:uid="{00000000-0005-0000-0000-000012040000}"/>
    <cellStyle name="Normal 45 4_IS" xfId="1162" xr:uid="{00000000-0005-0000-0000-000013040000}"/>
    <cellStyle name="Normal 45 5" xfId="1097" xr:uid="{00000000-0005-0000-0000-000014040000}"/>
    <cellStyle name="Normal 45 5 2" xfId="1139" xr:uid="{00000000-0005-0000-0000-000015040000}"/>
    <cellStyle name="Normal 45 5 2 2" xfId="1358" xr:uid="{00000000-0005-0000-0000-000016040000}"/>
    <cellStyle name="Normal 45 5 2 3" xfId="1408" xr:uid="{00000000-0005-0000-0000-000017040000}"/>
    <cellStyle name="Normal 45 5 2_Rev Exp" xfId="1257" xr:uid="{00000000-0005-0000-0000-000018040000}"/>
    <cellStyle name="Normal 45 5 3" xfId="1148" xr:uid="{00000000-0005-0000-0000-000019040000}"/>
    <cellStyle name="Normal 45 5 3 2" xfId="1359" xr:uid="{00000000-0005-0000-0000-00001A040000}"/>
    <cellStyle name="Normal 45 5 3_Rev Exp" xfId="1258" xr:uid="{00000000-0005-0000-0000-00001B040000}"/>
    <cellStyle name="Normal 45 5 4" xfId="1357" xr:uid="{00000000-0005-0000-0000-00001C040000}"/>
    <cellStyle name="Normal 45 5 5" xfId="1395" xr:uid="{00000000-0005-0000-0000-00001D040000}"/>
    <cellStyle name="Normal 45 5_IS" xfId="1163" xr:uid="{00000000-0005-0000-0000-00001E040000}"/>
    <cellStyle name="Normal 45 6" xfId="1131" xr:uid="{00000000-0005-0000-0000-00001F040000}"/>
    <cellStyle name="Normal 45 6 2" xfId="1360" xr:uid="{00000000-0005-0000-0000-000020040000}"/>
    <cellStyle name="Normal 45 6 3" xfId="1402" xr:uid="{00000000-0005-0000-0000-000021040000}"/>
    <cellStyle name="Normal 45 6_Rev Exp" xfId="1259" xr:uid="{00000000-0005-0000-0000-000022040000}"/>
    <cellStyle name="Normal 45 7" xfId="1124" xr:uid="{00000000-0005-0000-0000-000023040000}"/>
    <cellStyle name="Normal 45 7 2" xfId="1361" xr:uid="{00000000-0005-0000-0000-000024040000}"/>
    <cellStyle name="Normal 45 7_Rev Exp" xfId="1260" xr:uid="{00000000-0005-0000-0000-000025040000}"/>
    <cellStyle name="Normal 45 8" xfId="1335" xr:uid="{00000000-0005-0000-0000-000026040000}"/>
    <cellStyle name="Normal 45 9" xfId="1387" xr:uid="{00000000-0005-0000-0000-000027040000}"/>
    <cellStyle name="Normal 45_IS" xfId="1155" xr:uid="{00000000-0005-0000-0000-000028040000}"/>
    <cellStyle name="Normal 46" xfId="850" xr:uid="{00000000-0005-0000-0000-000029040000}"/>
    <cellStyle name="Normal 47" xfId="851" xr:uid="{00000000-0005-0000-0000-00002A040000}"/>
    <cellStyle name="Normal 48" xfId="1091" xr:uid="{00000000-0005-0000-0000-00002B040000}"/>
    <cellStyle name="Normal 48 2" xfId="1110" xr:uid="{00000000-0005-0000-0000-00002C040000}"/>
    <cellStyle name="Normal 48 3" xfId="1111" xr:uid="{00000000-0005-0000-0000-00002D040000}"/>
    <cellStyle name="Normal 49" xfId="1113" xr:uid="{00000000-0005-0000-0000-00002E040000}"/>
    <cellStyle name="Normal 49 2" xfId="1144" xr:uid="{00000000-0005-0000-0000-00002F040000}"/>
    <cellStyle name="Normal 49 2 2" xfId="1363" xr:uid="{00000000-0005-0000-0000-000030040000}"/>
    <cellStyle name="Normal 49 2 3" xfId="1413" xr:uid="{00000000-0005-0000-0000-000031040000}"/>
    <cellStyle name="Normal 49 2_Rev Exp" xfId="1261" xr:uid="{00000000-0005-0000-0000-000032040000}"/>
    <cellStyle name="Normal 49 3" xfId="1153" xr:uid="{00000000-0005-0000-0000-000033040000}"/>
    <cellStyle name="Normal 49 3 2" xfId="1364" xr:uid="{00000000-0005-0000-0000-000034040000}"/>
    <cellStyle name="Normal 49 3_Rev Exp" xfId="1262" xr:uid="{00000000-0005-0000-0000-000035040000}"/>
    <cellStyle name="Normal 49 4" xfId="1362" xr:uid="{00000000-0005-0000-0000-000036040000}"/>
    <cellStyle name="Normal 49 5" xfId="1400" xr:uid="{00000000-0005-0000-0000-000037040000}"/>
    <cellStyle name="Normal 49_IS" xfId="1164" xr:uid="{00000000-0005-0000-0000-000038040000}"/>
    <cellStyle name="Normal 5" xfId="852" xr:uid="{00000000-0005-0000-0000-000039040000}"/>
    <cellStyle name="Normal 5 2" xfId="853" xr:uid="{00000000-0005-0000-0000-00003A040000}"/>
    <cellStyle name="Normal 5 2 2" xfId="854" xr:uid="{00000000-0005-0000-0000-00003B040000}"/>
    <cellStyle name="Normal 5 2 3" xfId="855" xr:uid="{00000000-0005-0000-0000-00003C040000}"/>
    <cellStyle name="Normal 5 3" xfId="856" xr:uid="{00000000-0005-0000-0000-00003D040000}"/>
    <cellStyle name="Normal 5 4" xfId="857" xr:uid="{00000000-0005-0000-0000-00003E040000}"/>
    <cellStyle name="Normal 50" xfId="1112" xr:uid="{00000000-0005-0000-0000-00003F040000}"/>
    <cellStyle name="Normal 50 2" xfId="1143" xr:uid="{00000000-0005-0000-0000-000040040000}"/>
    <cellStyle name="Normal 50 2 2" xfId="1366" xr:uid="{00000000-0005-0000-0000-000041040000}"/>
    <cellStyle name="Normal 50 2 3" xfId="1412" xr:uid="{00000000-0005-0000-0000-000042040000}"/>
    <cellStyle name="Normal 50 2_Rev Exp" xfId="1263" xr:uid="{00000000-0005-0000-0000-000043040000}"/>
    <cellStyle name="Normal 50 3" xfId="1152" xr:uid="{00000000-0005-0000-0000-000044040000}"/>
    <cellStyle name="Normal 50 3 2" xfId="1367" xr:uid="{00000000-0005-0000-0000-000045040000}"/>
    <cellStyle name="Normal 50 3_Rev Exp" xfId="1264" xr:uid="{00000000-0005-0000-0000-000046040000}"/>
    <cellStyle name="Normal 50 4" xfId="1365" xr:uid="{00000000-0005-0000-0000-000047040000}"/>
    <cellStyle name="Normal 50 5" xfId="1399" xr:uid="{00000000-0005-0000-0000-000048040000}"/>
    <cellStyle name="Normal 50_IS" xfId="1165" xr:uid="{00000000-0005-0000-0000-000049040000}"/>
    <cellStyle name="Normal 51" xfId="1114" xr:uid="{00000000-0005-0000-0000-00004A040000}"/>
    <cellStyle name="Normal 52" xfId="1265" xr:uid="{00000000-0005-0000-0000-00004B040000}"/>
    <cellStyle name="Normal 53" xfId="1266" xr:uid="{00000000-0005-0000-0000-00004C040000}"/>
    <cellStyle name="Normal 54" xfId="1267" xr:uid="{00000000-0005-0000-0000-00004D040000}"/>
    <cellStyle name="Normal 55" xfId="1268" xr:uid="{00000000-0005-0000-0000-00004E040000}"/>
    <cellStyle name="Normal 56" xfId="1269" xr:uid="{00000000-0005-0000-0000-00004F040000}"/>
    <cellStyle name="Normal 57" xfId="1270" xr:uid="{00000000-0005-0000-0000-000050040000}"/>
    <cellStyle name="Normal 58" xfId="1271" xr:uid="{00000000-0005-0000-0000-000051040000}"/>
    <cellStyle name="Normal 59" xfId="1272" xr:uid="{00000000-0005-0000-0000-000052040000}"/>
    <cellStyle name="Normal 6" xfId="858" xr:uid="{00000000-0005-0000-0000-000053040000}"/>
    <cellStyle name="Normal 6 10" xfId="859" xr:uid="{00000000-0005-0000-0000-000054040000}"/>
    <cellStyle name="Normal 6 11" xfId="1116" xr:uid="{00000000-0005-0000-0000-000055040000}"/>
    <cellStyle name="Normal 6 2" xfId="860" xr:uid="{00000000-0005-0000-0000-000056040000}"/>
    <cellStyle name="Normal 6 2 2" xfId="861" xr:uid="{00000000-0005-0000-0000-000057040000}"/>
    <cellStyle name="Normal 6 2 3" xfId="862" xr:uid="{00000000-0005-0000-0000-000058040000}"/>
    <cellStyle name="Normal 6 3" xfId="863" xr:uid="{00000000-0005-0000-0000-000059040000}"/>
    <cellStyle name="Normal 6 4" xfId="864" xr:uid="{00000000-0005-0000-0000-00005A040000}"/>
    <cellStyle name="Normal 6 5" xfId="865" xr:uid="{00000000-0005-0000-0000-00005B040000}"/>
    <cellStyle name="Normal 6 6" xfId="866" xr:uid="{00000000-0005-0000-0000-00005C040000}"/>
    <cellStyle name="Normal 6 7" xfId="867" xr:uid="{00000000-0005-0000-0000-00005D040000}"/>
    <cellStyle name="Normal 6 8" xfId="868" xr:uid="{00000000-0005-0000-0000-00005E040000}"/>
    <cellStyle name="Normal 6 9" xfId="869" xr:uid="{00000000-0005-0000-0000-00005F040000}"/>
    <cellStyle name="Normal 60" xfId="1273" xr:uid="{00000000-0005-0000-0000-000060040000}"/>
    <cellStyle name="Normal 61" xfId="1274" xr:uid="{00000000-0005-0000-0000-000061040000}"/>
    <cellStyle name="Normal 62" xfId="1275" xr:uid="{00000000-0005-0000-0000-000062040000}"/>
    <cellStyle name="Normal 63" xfId="1276" xr:uid="{00000000-0005-0000-0000-000063040000}"/>
    <cellStyle name="Normal 64" xfId="1277" xr:uid="{00000000-0005-0000-0000-000064040000}"/>
    <cellStyle name="Normal 65" xfId="870" xr:uid="{00000000-0005-0000-0000-000065040000}"/>
    <cellStyle name="Normal 65 2" xfId="871" xr:uid="{00000000-0005-0000-0000-000066040000}"/>
    <cellStyle name="Normal 65 3" xfId="872" xr:uid="{00000000-0005-0000-0000-000067040000}"/>
    <cellStyle name="Normal 66" xfId="1278" xr:uid="{00000000-0005-0000-0000-000068040000}"/>
    <cellStyle name="Normal 66 2" xfId="1414" xr:uid="{00000000-0005-0000-0000-000069040000}"/>
    <cellStyle name="Normal 67" xfId="1279" xr:uid="{00000000-0005-0000-0000-00006A040000}"/>
    <cellStyle name="Normal 68" xfId="1280" xr:uid="{00000000-0005-0000-0000-00006B040000}"/>
    <cellStyle name="Normal 69" xfId="1281" xr:uid="{00000000-0005-0000-0000-00006C040000}"/>
    <cellStyle name="Normal 7" xfId="873" xr:uid="{00000000-0005-0000-0000-00006D040000}"/>
    <cellStyle name="Normal 7 2" xfId="874" xr:uid="{00000000-0005-0000-0000-00006E040000}"/>
    <cellStyle name="Normal 7 2 2" xfId="875" xr:uid="{00000000-0005-0000-0000-00006F040000}"/>
    <cellStyle name="Normal 7 2 3" xfId="876" xr:uid="{00000000-0005-0000-0000-000070040000}"/>
    <cellStyle name="Normal 70" xfId="1282" xr:uid="{00000000-0005-0000-0000-000071040000}"/>
    <cellStyle name="Normal 71" xfId="1283" xr:uid="{00000000-0005-0000-0000-000072040000}"/>
    <cellStyle name="Normal 72" xfId="1284" xr:uid="{00000000-0005-0000-0000-000073040000}"/>
    <cellStyle name="Normal 73" xfId="1285" xr:uid="{00000000-0005-0000-0000-000074040000}"/>
    <cellStyle name="Normal 74" xfId="1286" xr:uid="{00000000-0005-0000-0000-000075040000}"/>
    <cellStyle name="Normal 75" xfId="1287" xr:uid="{00000000-0005-0000-0000-000076040000}"/>
    <cellStyle name="Normal 76" xfId="1288" xr:uid="{00000000-0005-0000-0000-000077040000}"/>
    <cellStyle name="Normal 77" xfId="1289" xr:uid="{00000000-0005-0000-0000-000078040000}"/>
    <cellStyle name="Normal 78" xfId="1290" xr:uid="{00000000-0005-0000-0000-000079040000}"/>
    <cellStyle name="Normal 79" xfId="1291" xr:uid="{00000000-0005-0000-0000-00007A040000}"/>
    <cellStyle name="Normal 8" xfId="877" xr:uid="{00000000-0005-0000-0000-00007B040000}"/>
    <cellStyle name="Normal 8 2" xfId="878" xr:uid="{00000000-0005-0000-0000-00007C040000}"/>
    <cellStyle name="Normal 8 2 2" xfId="879" xr:uid="{00000000-0005-0000-0000-00007D040000}"/>
    <cellStyle name="Normal 8 2 3" xfId="880" xr:uid="{00000000-0005-0000-0000-00007E040000}"/>
    <cellStyle name="Normal 8 3" xfId="881" xr:uid="{00000000-0005-0000-0000-00007F040000}"/>
    <cellStyle name="Normal 8 4" xfId="882" xr:uid="{00000000-0005-0000-0000-000080040000}"/>
    <cellStyle name="Normal 80" xfId="1292" xr:uid="{00000000-0005-0000-0000-000081040000}"/>
    <cellStyle name="Normal 81" xfId="1293" xr:uid="{00000000-0005-0000-0000-000082040000}"/>
    <cellStyle name="Normal 82" xfId="1294" xr:uid="{00000000-0005-0000-0000-000083040000}"/>
    <cellStyle name="Normal 83" xfId="1295" xr:uid="{00000000-0005-0000-0000-000084040000}"/>
    <cellStyle name="Normal 84" xfId="1296" xr:uid="{00000000-0005-0000-0000-000085040000}"/>
    <cellStyle name="Normal 85" xfId="1297" xr:uid="{00000000-0005-0000-0000-000086040000}"/>
    <cellStyle name="Normal 86" xfId="1298" xr:uid="{00000000-0005-0000-0000-000087040000}"/>
    <cellStyle name="Normal 87" xfId="1299" xr:uid="{00000000-0005-0000-0000-000088040000}"/>
    <cellStyle name="Normal 88" xfId="1300" xr:uid="{00000000-0005-0000-0000-000089040000}"/>
    <cellStyle name="Normal 89" xfId="1301" xr:uid="{00000000-0005-0000-0000-00008A040000}"/>
    <cellStyle name="Normal 9" xfId="883" xr:uid="{00000000-0005-0000-0000-00008B040000}"/>
    <cellStyle name="Normal 9 10" xfId="884" xr:uid="{00000000-0005-0000-0000-00008C040000}"/>
    <cellStyle name="Normal 9 11" xfId="885" xr:uid="{00000000-0005-0000-0000-00008D040000}"/>
    <cellStyle name="Normal 9 2" xfId="886" xr:uid="{00000000-0005-0000-0000-00008E040000}"/>
    <cellStyle name="Normal 9 2 2" xfId="887" xr:uid="{00000000-0005-0000-0000-00008F040000}"/>
    <cellStyle name="Normal 9 2 3" xfId="888" xr:uid="{00000000-0005-0000-0000-000090040000}"/>
    <cellStyle name="Normal 9 3" xfId="889" xr:uid="{00000000-0005-0000-0000-000091040000}"/>
    <cellStyle name="Normal 9 3 2" xfId="890" xr:uid="{00000000-0005-0000-0000-000092040000}"/>
    <cellStyle name="Normal 9 3 3" xfId="891" xr:uid="{00000000-0005-0000-0000-000093040000}"/>
    <cellStyle name="Normal 9 4" xfId="892" xr:uid="{00000000-0005-0000-0000-000094040000}"/>
    <cellStyle name="Normal 9 4 2" xfId="893" xr:uid="{00000000-0005-0000-0000-000095040000}"/>
    <cellStyle name="Normal 9 4 3" xfId="894" xr:uid="{00000000-0005-0000-0000-000096040000}"/>
    <cellStyle name="Normal 9 5" xfId="895" xr:uid="{00000000-0005-0000-0000-000097040000}"/>
    <cellStyle name="Normal 9 5 2" xfId="896" xr:uid="{00000000-0005-0000-0000-000098040000}"/>
    <cellStyle name="Normal 9 5 3" xfId="897" xr:uid="{00000000-0005-0000-0000-000099040000}"/>
    <cellStyle name="Normal 9 6" xfId="898" xr:uid="{00000000-0005-0000-0000-00009A040000}"/>
    <cellStyle name="Normal 9 6 2" xfId="899" xr:uid="{00000000-0005-0000-0000-00009B040000}"/>
    <cellStyle name="Normal 9 6 3" xfId="900" xr:uid="{00000000-0005-0000-0000-00009C040000}"/>
    <cellStyle name="Normal 9 7" xfId="901" xr:uid="{00000000-0005-0000-0000-00009D040000}"/>
    <cellStyle name="Normal 9 7 2" xfId="902" xr:uid="{00000000-0005-0000-0000-00009E040000}"/>
    <cellStyle name="Normal 9 7 3" xfId="903" xr:uid="{00000000-0005-0000-0000-00009F040000}"/>
    <cellStyle name="Normal 9 8" xfId="904" xr:uid="{00000000-0005-0000-0000-0000A0040000}"/>
    <cellStyle name="Normal 9 8 2" xfId="905" xr:uid="{00000000-0005-0000-0000-0000A1040000}"/>
    <cellStyle name="Normal 9 8 3" xfId="906" xr:uid="{00000000-0005-0000-0000-0000A2040000}"/>
    <cellStyle name="Normal 9 9" xfId="907" xr:uid="{00000000-0005-0000-0000-0000A3040000}"/>
    <cellStyle name="Normal 9 9 2" xfId="908" xr:uid="{00000000-0005-0000-0000-0000A4040000}"/>
    <cellStyle name="Normal 9 9 3" xfId="909" xr:uid="{00000000-0005-0000-0000-0000A5040000}"/>
    <cellStyle name="Normal 90" xfId="1302" xr:uid="{00000000-0005-0000-0000-0000A6040000}"/>
    <cellStyle name="Normal 91" xfId="1303" xr:uid="{00000000-0005-0000-0000-0000A7040000}"/>
    <cellStyle name="Normal 92" xfId="1304" xr:uid="{00000000-0005-0000-0000-0000A8040000}"/>
    <cellStyle name="Normal 93" xfId="1305" xr:uid="{00000000-0005-0000-0000-0000A9040000}"/>
    <cellStyle name="Normal 94" xfId="1306" xr:uid="{00000000-0005-0000-0000-0000AA040000}"/>
    <cellStyle name="Normal 95" xfId="1307" xr:uid="{00000000-0005-0000-0000-0000AB040000}"/>
    <cellStyle name="Normal 96" xfId="1308" xr:uid="{00000000-0005-0000-0000-0000AC040000}"/>
    <cellStyle name="Normal 97" xfId="1309" xr:uid="{00000000-0005-0000-0000-0000AD040000}"/>
    <cellStyle name="Normal 98" xfId="1310" xr:uid="{00000000-0005-0000-0000-0000AE040000}"/>
    <cellStyle name="Normal 99" xfId="1311" xr:uid="{00000000-0005-0000-0000-0000AF040000}"/>
    <cellStyle name="Normal_A-4" xfId="1429" xr:uid="{119FC3B6-5C7A-4804-9C3E-EF5005FA798A}"/>
    <cellStyle name="Normal_A-5" xfId="1425" xr:uid="{91D5D42D-AA99-4554-9582-BF56ABCDE711}"/>
    <cellStyle name="Normal_B-4" xfId="1430" xr:uid="{F47E0B08-1D6C-4E60-B0A2-6A327841E5AA}"/>
    <cellStyle name="Normal_C-P3" xfId="1431" xr:uid="{156446F0-74D4-4A32-AE78-7147F7B2405C}"/>
    <cellStyle name="Normal_Income - Depr &amp; Amort Exp Annualization" xfId="1312" xr:uid="{00000000-0005-0000-0000-0000B1040000}"/>
    <cellStyle name="Normal_SCH_F4" xfId="1437" xr:uid="{9047F36C-8AFA-4539-B66A-5F97CF25DD7D}"/>
    <cellStyle name="Normal_SCHF-2WS" xfId="1436" xr:uid="{E236BF39-5A40-4142-935D-4FCD54CA3740}"/>
    <cellStyle name="Note 2" xfId="910" xr:uid="{00000000-0005-0000-0000-0000B3040000}"/>
    <cellStyle name="Note 2 2" xfId="911" xr:uid="{00000000-0005-0000-0000-0000B4040000}"/>
    <cellStyle name="Note 2 2 2" xfId="912" xr:uid="{00000000-0005-0000-0000-0000B5040000}"/>
    <cellStyle name="Note 2 2 2 2" xfId="913" xr:uid="{00000000-0005-0000-0000-0000B6040000}"/>
    <cellStyle name="Note 2 2 2 3" xfId="914" xr:uid="{00000000-0005-0000-0000-0000B7040000}"/>
    <cellStyle name="Note 2 2 3" xfId="915" xr:uid="{00000000-0005-0000-0000-0000B8040000}"/>
    <cellStyle name="Note 2 2 4" xfId="916" xr:uid="{00000000-0005-0000-0000-0000B9040000}"/>
    <cellStyle name="Note 2 3" xfId="917" xr:uid="{00000000-0005-0000-0000-0000BA040000}"/>
    <cellStyle name="Note 2 4" xfId="918" xr:uid="{00000000-0005-0000-0000-0000BB040000}"/>
    <cellStyle name="Note 3" xfId="919" xr:uid="{00000000-0005-0000-0000-0000BC040000}"/>
    <cellStyle name="Note 3 2" xfId="920" xr:uid="{00000000-0005-0000-0000-0000BD040000}"/>
    <cellStyle name="Note 3 2 2" xfId="921" xr:uid="{00000000-0005-0000-0000-0000BE040000}"/>
    <cellStyle name="Note 3 2 2 2" xfId="922" xr:uid="{00000000-0005-0000-0000-0000BF040000}"/>
    <cellStyle name="Note 3 2 2 3" xfId="923" xr:uid="{00000000-0005-0000-0000-0000C0040000}"/>
    <cellStyle name="Note 3 2 3" xfId="924" xr:uid="{00000000-0005-0000-0000-0000C1040000}"/>
    <cellStyle name="Note 3 2 4" xfId="925" xr:uid="{00000000-0005-0000-0000-0000C2040000}"/>
    <cellStyle name="Note 3 3" xfId="926" xr:uid="{00000000-0005-0000-0000-0000C3040000}"/>
    <cellStyle name="Note 3 4" xfId="927" xr:uid="{00000000-0005-0000-0000-0000C4040000}"/>
    <cellStyle name="Note 4" xfId="928" xr:uid="{00000000-0005-0000-0000-0000C5040000}"/>
    <cellStyle name="Note 4 2" xfId="929" xr:uid="{00000000-0005-0000-0000-0000C6040000}"/>
    <cellStyle name="Note 4 3" xfId="930" xr:uid="{00000000-0005-0000-0000-0000C7040000}"/>
    <cellStyle name="Note 4 4" xfId="931" xr:uid="{00000000-0005-0000-0000-0000C8040000}"/>
    <cellStyle name="Note 4 5" xfId="932" xr:uid="{00000000-0005-0000-0000-0000C9040000}"/>
    <cellStyle name="Note 5" xfId="933" xr:uid="{00000000-0005-0000-0000-0000CA040000}"/>
    <cellStyle name="Note 5 2" xfId="934" xr:uid="{00000000-0005-0000-0000-0000CB040000}"/>
    <cellStyle name="Output 2" xfId="935" xr:uid="{00000000-0005-0000-0000-0000CC040000}"/>
    <cellStyle name="Output 2 2" xfId="936" xr:uid="{00000000-0005-0000-0000-0000CD040000}"/>
    <cellStyle name="Output 2 2 2" xfId="937" xr:uid="{00000000-0005-0000-0000-0000CE040000}"/>
    <cellStyle name="Output 2 3" xfId="938" xr:uid="{00000000-0005-0000-0000-0000CF040000}"/>
    <cellStyle name="Output 2 3 2" xfId="939" xr:uid="{00000000-0005-0000-0000-0000D0040000}"/>
    <cellStyle name="Output 2 4" xfId="940" xr:uid="{00000000-0005-0000-0000-0000D1040000}"/>
    <cellStyle name="Output 2 4 2" xfId="941" xr:uid="{00000000-0005-0000-0000-0000D2040000}"/>
    <cellStyle name="Output 3" xfId="942" xr:uid="{00000000-0005-0000-0000-0000D3040000}"/>
    <cellStyle name="Output 3 2" xfId="943" xr:uid="{00000000-0005-0000-0000-0000D4040000}"/>
    <cellStyle name="Output 3 2 2" xfId="944" xr:uid="{00000000-0005-0000-0000-0000D5040000}"/>
    <cellStyle name="Output 3 3" xfId="945" xr:uid="{00000000-0005-0000-0000-0000D6040000}"/>
    <cellStyle name="Output 3 3 2" xfId="946" xr:uid="{00000000-0005-0000-0000-0000D7040000}"/>
    <cellStyle name="Output 3 4" xfId="947" xr:uid="{00000000-0005-0000-0000-0000D8040000}"/>
    <cellStyle name="Output 3 4 2" xfId="948" xr:uid="{00000000-0005-0000-0000-0000D9040000}"/>
    <cellStyle name="Output 4" xfId="949" xr:uid="{00000000-0005-0000-0000-0000DA040000}"/>
    <cellStyle name="Output 4 2" xfId="950" xr:uid="{00000000-0005-0000-0000-0000DB040000}"/>
    <cellStyle name="Output 5" xfId="951" xr:uid="{00000000-0005-0000-0000-0000DC040000}"/>
    <cellStyle name="Output 5 2" xfId="952" xr:uid="{00000000-0005-0000-0000-0000DD040000}"/>
    <cellStyle name="Output 6" xfId="953" xr:uid="{00000000-0005-0000-0000-0000DE040000}"/>
    <cellStyle name="Output 6 2" xfId="954" xr:uid="{00000000-0005-0000-0000-0000DF040000}"/>
    <cellStyle name="Output 7" xfId="955" xr:uid="{00000000-0005-0000-0000-0000E0040000}"/>
    <cellStyle name="Output 7 2" xfId="956" xr:uid="{00000000-0005-0000-0000-0000E1040000}"/>
    <cellStyle name="OUTPUT AMOUNTS" xfId="957" xr:uid="{00000000-0005-0000-0000-0000E2040000}"/>
    <cellStyle name="Output Column Headings" xfId="958" xr:uid="{00000000-0005-0000-0000-0000E3040000}"/>
    <cellStyle name="OUTPUT LINE ITEMS" xfId="959" xr:uid="{00000000-0005-0000-0000-0000E4040000}"/>
    <cellStyle name="Output Report Heading" xfId="960" xr:uid="{00000000-0005-0000-0000-0000E6040000}"/>
    <cellStyle name="Output Report Title" xfId="961" xr:uid="{00000000-0005-0000-0000-0000E7040000}"/>
    <cellStyle name="Page Heading Large" xfId="962" xr:uid="{00000000-0005-0000-0000-0000E8040000}"/>
    <cellStyle name="Page Heading Small" xfId="963" xr:uid="{00000000-0005-0000-0000-0000E9040000}"/>
    <cellStyle name="Percent" xfId="3" builtinId="5"/>
    <cellStyle name="Percent [0]" xfId="964" xr:uid="{00000000-0005-0000-0000-0000EB040000}"/>
    <cellStyle name="Percent [00]" xfId="965" xr:uid="{00000000-0005-0000-0000-0000EC040000}"/>
    <cellStyle name="Percent [00] 2" xfId="966" xr:uid="{00000000-0005-0000-0000-0000ED040000}"/>
    <cellStyle name="Percent [00] 3" xfId="967" xr:uid="{00000000-0005-0000-0000-0000EE040000}"/>
    <cellStyle name="Percent 2" xfId="968" xr:uid="{00000000-0005-0000-0000-0000EF040000}"/>
    <cellStyle name="Percent 2 10" xfId="1313" xr:uid="{00000000-0005-0000-0000-0000F0040000}"/>
    <cellStyle name="Percent 2 11" xfId="1314" xr:uid="{00000000-0005-0000-0000-0000F1040000}"/>
    <cellStyle name="Percent 2 2" xfId="969" xr:uid="{00000000-0005-0000-0000-0000F2040000}"/>
    <cellStyle name="Percent 2 2 2" xfId="1368" xr:uid="{00000000-0005-0000-0000-0000F3040000}"/>
    <cellStyle name="Percent 2 3" xfId="970" xr:uid="{00000000-0005-0000-0000-0000F4040000}"/>
    <cellStyle name="Percent 2 3 2" xfId="1369" xr:uid="{00000000-0005-0000-0000-0000F5040000}"/>
    <cellStyle name="Percent 2 4" xfId="971" xr:uid="{00000000-0005-0000-0000-0000F6040000}"/>
    <cellStyle name="Percent 2 4 2" xfId="1370" xr:uid="{00000000-0005-0000-0000-0000F7040000}"/>
    <cellStyle name="Percent 2 5" xfId="972" xr:uid="{00000000-0005-0000-0000-0000F8040000}"/>
    <cellStyle name="Percent 2 5 2" xfId="1371" xr:uid="{00000000-0005-0000-0000-0000F9040000}"/>
    <cellStyle name="Percent 2 6" xfId="973" xr:uid="{00000000-0005-0000-0000-0000FA040000}"/>
    <cellStyle name="Percent 2 6 2" xfId="1372" xr:uid="{00000000-0005-0000-0000-0000FB040000}"/>
    <cellStyle name="Percent 2 7" xfId="974" xr:uid="{00000000-0005-0000-0000-0000FC040000}"/>
    <cellStyle name="Percent 2 7 2" xfId="1373" xr:uid="{00000000-0005-0000-0000-0000FD040000}"/>
    <cellStyle name="Percent 2 8" xfId="975" xr:uid="{00000000-0005-0000-0000-0000FE040000}"/>
    <cellStyle name="Percent 2 8 2" xfId="1374" xr:uid="{00000000-0005-0000-0000-0000FF040000}"/>
    <cellStyle name="Percent 2 9" xfId="1315" xr:uid="{00000000-0005-0000-0000-000000050000}"/>
    <cellStyle name="Percent 2 9 2" xfId="1405" xr:uid="{00000000-0005-0000-0000-000001050000}"/>
    <cellStyle name="Percent 3" xfId="1118" xr:uid="{00000000-0005-0000-0000-000002050000}"/>
    <cellStyle name="Percent 3 2" xfId="1375" xr:uid="{00000000-0005-0000-0000-000003050000}"/>
    <cellStyle name="Percent 4" xfId="1316" xr:uid="{00000000-0005-0000-0000-000004050000}"/>
    <cellStyle name="Percent 5" xfId="1317" xr:uid="{00000000-0005-0000-0000-000005050000}"/>
    <cellStyle name="Percent 5 2" xfId="1424" xr:uid="{2D7A2ECD-8A93-427F-82C7-8F6F3E03FFE6}"/>
    <cellStyle name="Percent 6" xfId="1318" xr:uid="{00000000-0005-0000-0000-000006050000}"/>
    <cellStyle name="Percent 7" xfId="1423" xr:uid="{C7F2E38F-E86F-488B-82E0-B5CB2DA9A290}"/>
    <cellStyle name="Percent Hard" xfId="976" xr:uid="{00000000-0005-0000-0000-000007050000}"/>
    <cellStyle name="PrePop Currency (0)" xfId="977" xr:uid="{00000000-0005-0000-0000-000008050000}"/>
    <cellStyle name="PrePop Currency (2)" xfId="978" xr:uid="{00000000-0005-0000-0000-000009050000}"/>
    <cellStyle name="PrePop Units (0)" xfId="979" xr:uid="{00000000-0005-0000-0000-00000A050000}"/>
    <cellStyle name="PrePop Units (1)" xfId="980" xr:uid="{00000000-0005-0000-0000-00000B050000}"/>
    <cellStyle name="PrePop Units (2)" xfId="981" xr:uid="{00000000-0005-0000-0000-00000C050000}"/>
    <cellStyle name="PSChar" xfId="982" xr:uid="{00000000-0005-0000-0000-00000D050000}"/>
    <cellStyle name="PSChar 2" xfId="983" xr:uid="{00000000-0005-0000-0000-00000E050000}"/>
    <cellStyle name="PSChar 3" xfId="984" xr:uid="{00000000-0005-0000-0000-00000F050000}"/>
    <cellStyle name="PSDate" xfId="985" xr:uid="{00000000-0005-0000-0000-000010050000}"/>
    <cellStyle name="PSDate 2" xfId="986" xr:uid="{00000000-0005-0000-0000-000011050000}"/>
    <cellStyle name="PSDate 3" xfId="987" xr:uid="{00000000-0005-0000-0000-000012050000}"/>
    <cellStyle name="PSDec" xfId="988" xr:uid="{00000000-0005-0000-0000-000013050000}"/>
    <cellStyle name="PSDec 2" xfId="989" xr:uid="{00000000-0005-0000-0000-000014050000}"/>
    <cellStyle name="PSDec 3" xfId="990" xr:uid="{00000000-0005-0000-0000-000015050000}"/>
    <cellStyle name="PSHeading" xfId="991" xr:uid="{00000000-0005-0000-0000-000016050000}"/>
    <cellStyle name="PSHeading 2" xfId="992" xr:uid="{00000000-0005-0000-0000-000017050000}"/>
    <cellStyle name="PSHeading 2 2" xfId="993" xr:uid="{00000000-0005-0000-0000-000018050000}"/>
    <cellStyle name="PSHeading 2 3" xfId="994" xr:uid="{00000000-0005-0000-0000-000019050000}"/>
    <cellStyle name="PSHeading 2 4" xfId="995" xr:uid="{00000000-0005-0000-0000-00001A050000}"/>
    <cellStyle name="PSHeading 2 5" xfId="996" xr:uid="{00000000-0005-0000-0000-00001B050000}"/>
    <cellStyle name="PSHeading 2 6" xfId="997" xr:uid="{00000000-0005-0000-0000-00001C050000}"/>
    <cellStyle name="PSHeading 2 7" xfId="998" xr:uid="{00000000-0005-0000-0000-00001D050000}"/>
    <cellStyle name="PSHeading 2 8" xfId="999" xr:uid="{00000000-0005-0000-0000-00001E050000}"/>
    <cellStyle name="PSInt" xfId="1000" xr:uid="{00000000-0005-0000-0000-00001F050000}"/>
    <cellStyle name="PSInt 2" xfId="1001" xr:uid="{00000000-0005-0000-0000-000020050000}"/>
    <cellStyle name="PSInt 3" xfId="1002" xr:uid="{00000000-0005-0000-0000-000021050000}"/>
    <cellStyle name="PSSpacer" xfId="1003" xr:uid="{00000000-0005-0000-0000-000022050000}"/>
    <cellStyle name="PSSpacer 2" xfId="1004" xr:uid="{00000000-0005-0000-0000-000023050000}"/>
    <cellStyle name="PSSpacer 3" xfId="1005" xr:uid="{00000000-0005-0000-0000-000024050000}"/>
    <cellStyle name="ReportTitlePrompt" xfId="1006" xr:uid="{00000000-0005-0000-0000-000025050000}"/>
    <cellStyle name="ReportTitleValue" xfId="1007" xr:uid="{00000000-0005-0000-0000-000026050000}"/>
    <cellStyle name="RowAcctAbovePrompt" xfId="1008" xr:uid="{00000000-0005-0000-0000-000027050000}"/>
    <cellStyle name="RowAcctSOBAbovePrompt" xfId="1009" xr:uid="{00000000-0005-0000-0000-000028050000}"/>
    <cellStyle name="RowAcctSOBValue" xfId="1010" xr:uid="{00000000-0005-0000-0000-000029050000}"/>
    <cellStyle name="RowAcctValue" xfId="1011" xr:uid="{00000000-0005-0000-0000-00002A050000}"/>
    <cellStyle name="RowAttrAbovePrompt" xfId="1012" xr:uid="{00000000-0005-0000-0000-00002B050000}"/>
    <cellStyle name="RowAttrValue" xfId="1013" xr:uid="{00000000-0005-0000-0000-00002C050000}"/>
    <cellStyle name="RowColSetAbovePrompt" xfId="1014" xr:uid="{00000000-0005-0000-0000-00002D050000}"/>
    <cellStyle name="RowColSetLeftPrompt" xfId="1015" xr:uid="{00000000-0005-0000-0000-00002E050000}"/>
    <cellStyle name="RowColSetValue" xfId="1016" xr:uid="{00000000-0005-0000-0000-00002F050000}"/>
    <cellStyle name="RowLeftPrompt" xfId="1017" xr:uid="{00000000-0005-0000-0000-000030050000}"/>
    <cellStyle name="SampleUsingFormatMask" xfId="1018" xr:uid="{00000000-0005-0000-0000-000031050000}"/>
    <cellStyle name="SampleWithNoFormatMask" xfId="1019" xr:uid="{00000000-0005-0000-0000-000032050000}"/>
    <cellStyle name="Schedule" xfId="1020" xr:uid="{00000000-0005-0000-0000-000033050000}"/>
    <cellStyle name="Schedule 10" xfId="1021" xr:uid="{00000000-0005-0000-0000-000034050000}"/>
    <cellStyle name="Schedule 10 2" xfId="1107" xr:uid="{00000000-0005-0000-0000-000035050000}"/>
    <cellStyle name="Schedule 10 3" xfId="1094" xr:uid="{00000000-0005-0000-0000-000036050000}"/>
    <cellStyle name="Schedule 10 4" xfId="1134" xr:uid="{00000000-0005-0000-0000-000037050000}"/>
    <cellStyle name="Schedule 10 5" xfId="1121" xr:uid="{00000000-0005-0000-0000-000038050000}"/>
    <cellStyle name="Schedule 10 6" xfId="1376" xr:uid="{00000000-0005-0000-0000-000039050000}"/>
    <cellStyle name="Schedule 10 7" xfId="1390" xr:uid="{00000000-0005-0000-0000-00003A050000}"/>
    <cellStyle name="Schedule 10_IS" xfId="1166" xr:uid="{00000000-0005-0000-0000-00003B050000}"/>
    <cellStyle name="Schedule 11" xfId="1319" xr:uid="{00000000-0005-0000-0000-00003C050000}"/>
    <cellStyle name="Schedule 12" xfId="1320" xr:uid="{00000000-0005-0000-0000-00003D050000}"/>
    <cellStyle name="Schedule 13" xfId="1321" xr:uid="{00000000-0005-0000-0000-00003E050000}"/>
    <cellStyle name="Schedule 14" xfId="1382" xr:uid="{00000000-0005-0000-0000-00003F050000}"/>
    <cellStyle name="Schedule 2" xfId="1022" xr:uid="{00000000-0005-0000-0000-000040050000}"/>
    <cellStyle name="Schedule 2 2" xfId="1023" xr:uid="{00000000-0005-0000-0000-000041050000}"/>
    <cellStyle name="Schedule 2 3" xfId="1024" xr:uid="{00000000-0005-0000-0000-000042050000}"/>
    <cellStyle name="Schedule 3" xfId="1025" xr:uid="{00000000-0005-0000-0000-000043050000}"/>
    <cellStyle name="Schedule 3 2" xfId="1026" xr:uid="{00000000-0005-0000-0000-000044050000}"/>
    <cellStyle name="Schedule 3 3" xfId="1027" xr:uid="{00000000-0005-0000-0000-000045050000}"/>
    <cellStyle name="Schedule 4" xfId="1028" xr:uid="{00000000-0005-0000-0000-000046050000}"/>
    <cellStyle name="Schedule 4 2" xfId="1029" xr:uid="{00000000-0005-0000-0000-000047050000}"/>
    <cellStyle name="Schedule 4 3" xfId="1030" xr:uid="{00000000-0005-0000-0000-000048050000}"/>
    <cellStyle name="Schedule 5" xfId="1031" xr:uid="{00000000-0005-0000-0000-000049050000}"/>
    <cellStyle name="Schedule 5 2" xfId="1032" xr:uid="{00000000-0005-0000-0000-00004A050000}"/>
    <cellStyle name="Schedule 5 3" xfId="1033" xr:uid="{00000000-0005-0000-0000-00004B050000}"/>
    <cellStyle name="Schedule 6" xfId="1034" xr:uid="{00000000-0005-0000-0000-00004C050000}"/>
    <cellStyle name="Schedule 6 2" xfId="1035" xr:uid="{00000000-0005-0000-0000-00004D050000}"/>
    <cellStyle name="Schedule 6 3" xfId="1036" xr:uid="{00000000-0005-0000-0000-00004E050000}"/>
    <cellStyle name="Schedule 7" xfId="1037" xr:uid="{00000000-0005-0000-0000-00004F050000}"/>
    <cellStyle name="Schedule 7 2" xfId="1038" xr:uid="{00000000-0005-0000-0000-000050050000}"/>
    <cellStyle name="Schedule 7 2 2" xfId="1039" xr:uid="{00000000-0005-0000-0000-000051050000}"/>
    <cellStyle name="Schedule 7 2 3" xfId="1040" xr:uid="{00000000-0005-0000-0000-000052050000}"/>
    <cellStyle name="Schedule 7 3" xfId="1041" xr:uid="{00000000-0005-0000-0000-000053050000}"/>
    <cellStyle name="Schedule 7 3 2" xfId="1042" xr:uid="{00000000-0005-0000-0000-000054050000}"/>
    <cellStyle name="Schedule 7 3 3" xfId="1043" xr:uid="{00000000-0005-0000-0000-000055050000}"/>
    <cellStyle name="Schedule 7 4" xfId="1044" xr:uid="{00000000-0005-0000-0000-000056050000}"/>
    <cellStyle name="Schedule 7 4 2" xfId="1045" xr:uid="{00000000-0005-0000-0000-000057050000}"/>
    <cellStyle name="Schedule 7 4 3" xfId="1046" xr:uid="{00000000-0005-0000-0000-000058050000}"/>
    <cellStyle name="Schedule 7 5" xfId="1047" xr:uid="{00000000-0005-0000-0000-000059050000}"/>
    <cellStyle name="Schedule 7 5 2" xfId="1048" xr:uid="{00000000-0005-0000-0000-00005A050000}"/>
    <cellStyle name="Schedule 7 5 3" xfId="1049" xr:uid="{00000000-0005-0000-0000-00005B050000}"/>
    <cellStyle name="Schedule 7 6" xfId="1050" xr:uid="{00000000-0005-0000-0000-00005C050000}"/>
    <cellStyle name="Schedule 7 7" xfId="1051" xr:uid="{00000000-0005-0000-0000-00005D050000}"/>
    <cellStyle name="Schedule 8" xfId="1052" xr:uid="{00000000-0005-0000-0000-00005E050000}"/>
    <cellStyle name="Schedule 8 2" xfId="1108" xr:uid="{00000000-0005-0000-0000-00005F050000}"/>
    <cellStyle name="Schedule 8 3" xfId="1092" xr:uid="{00000000-0005-0000-0000-000060050000}"/>
    <cellStyle name="Schedule 8 4" xfId="1135" xr:uid="{00000000-0005-0000-0000-000061050000}"/>
    <cellStyle name="Schedule 8 5" xfId="1120" xr:uid="{00000000-0005-0000-0000-000062050000}"/>
    <cellStyle name="Schedule 8 6" xfId="1377" xr:uid="{00000000-0005-0000-0000-000063050000}"/>
    <cellStyle name="Schedule 8 7" xfId="1391" xr:uid="{00000000-0005-0000-0000-000064050000}"/>
    <cellStyle name="Schedule 8_IS" xfId="1167" xr:uid="{00000000-0005-0000-0000-000065050000}"/>
    <cellStyle name="Schedule 9" xfId="1053" xr:uid="{00000000-0005-0000-0000-000066050000}"/>
    <cellStyle name="Schedule 9 2" xfId="1109" xr:uid="{00000000-0005-0000-0000-000067050000}"/>
    <cellStyle name="Schedule 9 3" xfId="1093" xr:uid="{00000000-0005-0000-0000-000068050000}"/>
    <cellStyle name="Schedule 9 4" xfId="1136" xr:uid="{00000000-0005-0000-0000-000069050000}"/>
    <cellStyle name="Schedule 9 5" xfId="1119" xr:uid="{00000000-0005-0000-0000-00006A050000}"/>
    <cellStyle name="Schedule 9 6" xfId="1378" xr:uid="{00000000-0005-0000-0000-00006B050000}"/>
    <cellStyle name="Schedule 9 7" xfId="1392" xr:uid="{00000000-0005-0000-0000-00006C050000}"/>
    <cellStyle name="Schedule 9_IS" xfId="1168" xr:uid="{00000000-0005-0000-0000-00006D050000}"/>
    <cellStyle name="Shaded" xfId="1054" xr:uid="{00000000-0005-0000-0000-00006E050000}"/>
    <cellStyle name="Style 1" xfId="1055" xr:uid="{00000000-0005-0000-0000-00006F050000}"/>
    <cellStyle name="Style 1 2" xfId="1056" xr:uid="{00000000-0005-0000-0000-000070050000}"/>
    <cellStyle name="Style 1 3" xfId="1057" xr:uid="{00000000-0005-0000-0000-000071050000}"/>
    <cellStyle name="Table Col Head" xfId="1058" xr:uid="{00000000-0005-0000-0000-000072050000}"/>
    <cellStyle name="Table Sub Head" xfId="1059" xr:uid="{00000000-0005-0000-0000-000073050000}"/>
    <cellStyle name="Table Title" xfId="1060" xr:uid="{00000000-0005-0000-0000-000074050000}"/>
    <cellStyle name="Table Units" xfId="1061" xr:uid="{00000000-0005-0000-0000-000075050000}"/>
    <cellStyle name="Text Indent A" xfId="1062" xr:uid="{00000000-0005-0000-0000-000076050000}"/>
    <cellStyle name="Text Indent B" xfId="1063" xr:uid="{00000000-0005-0000-0000-000077050000}"/>
    <cellStyle name="Text Indent C" xfId="1064" xr:uid="{00000000-0005-0000-0000-000078050000}"/>
    <cellStyle name="Total 2" xfId="1065" xr:uid="{00000000-0005-0000-0000-000079050000}"/>
    <cellStyle name="Total 2 2" xfId="1066" xr:uid="{00000000-0005-0000-0000-00007A050000}"/>
    <cellStyle name="Total 2 2 2" xfId="1067" xr:uid="{00000000-0005-0000-0000-00007B050000}"/>
    <cellStyle name="Total 2 3" xfId="1068" xr:uid="{00000000-0005-0000-0000-00007C050000}"/>
    <cellStyle name="Total 2 3 2" xfId="1069" xr:uid="{00000000-0005-0000-0000-00007D050000}"/>
    <cellStyle name="Total 2 4" xfId="1070" xr:uid="{00000000-0005-0000-0000-00007E050000}"/>
    <cellStyle name="Total 2 4 2" xfId="1071" xr:uid="{00000000-0005-0000-0000-00007F050000}"/>
    <cellStyle name="Total 3" xfId="1072" xr:uid="{00000000-0005-0000-0000-000080050000}"/>
    <cellStyle name="Total 3 2" xfId="1073" xr:uid="{00000000-0005-0000-0000-000081050000}"/>
    <cellStyle name="Total 3 2 2" xfId="1074" xr:uid="{00000000-0005-0000-0000-000082050000}"/>
    <cellStyle name="Total 3 3" xfId="1075" xr:uid="{00000000-0005-0000-0000-000083050000}"/>
    <cellStyle name="Total 3 3 2" xfId="1076" xr:uid="{00000000-0005-0000-0000-000084050000}"/>
    <cellStyle name="Total 3 4" xfId="1077" xr:uid="{00000000-0005-0000-0000-000085050000}"/>
    <cellStyle name="Total 3 4 2" xfId="1078" xr:uid="{00000000-0005-0000-0000-000086050000}"/>
    <cellStyle name="Total 4" xfId="1079" xr:uid="{00000000-0005-0000-0000-000087050000}"/>
    <cellStyle name="Total 4 2" xfId="1080" xr:uid="{00000000-0005-0000-0000-000088050000}"/>
    <cellStyle name="Total 5" xfId="1081" xr:uid="{00000000-0005-0000-0000-000089050000}"/>
    <cellStyle name="Total 5 2" xfId="1082" xr:uid="{00000000-0005-0000-0000-00008A050000}"/>
    <cellStyle name="Total 6" xfId="1083" xr:uid="{00000000-0005-0000-0000-00008B050000}"/>
    <cellStyle name="Total 6 2" xfId="1084" xr:uid="{00000000-0005-0000-0000-00008C050000}"/>
    <cellStyle name="Total 7" xfId="1085" xr:uid="{00000000-0005-0000-0000-00008D050000}"/>
    <cellStyle name="Total 7 2" xfId="1086" xr:uid="{00000000-0005-0000-0000-00008E050000}"/>
    <cellStyle name="UploadThisRowValue" xfId="1087" xr:uid="{00000000-0005-0000-0000-00008F050000}"/>
    <cellStyle name="Warning Text 2" xfId="1088" xr:uid="{00000000-0005-0000-0000-000090050000}"/>
    <cellStyle name="Warning Text 3" xfId="1089" xr:uid="{00000000-0005-0000-0000-000091050000}"/>
    <cellStyle name="Year" xfId="1090" xr:uid="{00000000-0005-0000-0000-000092050000}"/>
  </cellStyles>
  <dxfs count="0"/>
  <tableStyles count="0" defaultTableStyle="TableStyleMedium9" defaultPivotStyle="PivotStyleLight16"/>
  <colors>
    <mruColors>
      <color rgb="FFDDD9C4"/>
      <color rgb="FF99CCFF"/>
      <color rgb="FFFF9933"/>
      <color rgb="FFFFFF66"/>
      <color rgb="FFFF99CC"/>
      <color rgb="FF99FF99"/>
      <color rgb="FFFFCC99"/>
      <color rgb="FF1208E2"/>
      <color rgb="FF6699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477508</xdr:colOff>
      <xdr:row>72</xdr:row>
      <xdr:rowOff>125470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868F08-4A46-979B-D65E-C14908357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11908" cy="11784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46BA-E1B5-493F-A69F-73F51267C7B0}">
  <sheetPr>
    <pageSetUpPr fitToPage="1"/>
  </sheetPr>
  <dimension ref="A1"/>
  <sheetViews>
    <sheetView workbookViewId="0"/>
  </sheetViews>
  <sheetFormatPr defaultRowHeight="13.2"/>
  <sheetData/>
  <pageMargins left="0.7" right="0.7" top="0.75" bottom="0.75" header="0.3" footer="0.3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50"/>
  </sheetPr>
  <dimension ref="A1:AC167"/>
  <sheetViews>
    <sheetView topLeftCell="D1" zoomScale="80" zoomScaleNormal="80" workbookViewId="0">
      <pane xSplit="5" ySplit="7" topLeftCell="I8" activePane="bottomRight" state="frozen"/>
      <selection sqref="A1:F1"/>
      <selection pane="topRight" sqref="A1:F1"/>
      <selection pane="bottomLeft" sqref="A1:F1"/>
      <selection pane="bottomRight" sqref="A1:F1"/>
    </sheetView>
  </sheetViews>
  <sheetFormatPr defaultColWidth="8.6640625" defaultRowHeight="13.2"/>
  <cols>
    <col min="1" max="1" width="30.5546875" style="12" hidden="1" customWidth="1"/>
    <col min="2" max="2" width="27.33203125" style="12" hidden="1" customWidth="1"/>
    <col min="3" max="3" width="21.6640625" style="12" hidden="1" customWidth="1"/>
    <col min="4" max="4" width="12.5546875" style="12" customWidth="1"/>
    <col min="5" max="5" width="50.5546875" style="253" customWidth="1"/>
    <col min="6" max="7" width="17.5546875" style="253" customWidth="1"/>
    <col min="8" max="8" width="17.5546875" style="254" customWidth="1"/>
    <col min="9" max="12" width="15.5546875" style="254" customWidth="1"/>
    <col min="13" max="13" width="15.5546875" style="946" customWidth="1"/>
    <col min="14" max="16" width="15.5546875" style="254" customWidth="1"/>
    <col min="17" max="17" width="15.5546875" style="946" customWidth="1"/>
    <col min="18" max="18" width="15.5546875" style="254" customWidth="1"/>
    <col min="19" max="41" width="8.5546875" style="253" customWidth="1"/>
    <col min="42" max="196" width="8.6640625" style="253"/>
    <col min="197" max="197" width="12.6640625" style="253" customWidth="1"/>
    <col min="198" max="198" width="75.6640625" style="253" customWidth="1"/>
    <col min="199" max="202" width="18.6640625" style="253" customWidth="1"/>
    <col min="203" max="203" width="1.6640625" style="253" customWidth="1"/>
    <col min="204" max="204" width="18.6640625" style="253" customWidth="1"/>
    <col min="205" max="205" width="1.6640625" style="253" customWidth="1"/>
    <col min="206" max="206" width="16.6640625" style="253" customWidth="1"/>
    <col min="207" max="207" width="1.6640625" style="253" customWidth="1"/>
    <col min="208" max="208" width="16.6640625" style="253" customWidth="1"/>
    <col min="209" max="209" width="1.6640625" style="253" customWidth="1"/>
    <col min="210" max="210" width="16.6640625" style="253" customWidth="1"/>
    <col min="211" max="211" width="1.6640625" style="253" customWidth="1"/>
    <col min="212" max="212" width="16.33203125" style="253" customWidth="1"/>
    <col min="213" max="213" width="1.6640625" style="253" customWidth="1"/>
    <col min="214" max="214" width="16.6640625" style="253" customWidth="1"/>
    <col min="215" max="215" width="1.6640625" style="253" customWidth="1"/>
    <col min="216" max="216" width="19.5546875" style="253" customWidth="1"/>
    <col min="217" max="217" width="16.6640625" style="253" customWidth="1"/>
    <col min="218" max="452" width="8.6640625" style="253"/>
    <col min="453" max="453" width="12.6640625" style="253" customWidth="1"/>
    <col min="454" max="454" width="75.6640625" style="253" customWidth="1"/>
    <col min="455" max="458" width="18.6640625" style="253" customWidth="1"/>
    <col min="459" max="459" width="1.6640625" style="253" customWidth="1"/>
    <col min="460" max="460" width="18.6640625" style="253" customWidth="1"/>
    <col min="461" max="461" width="1.6640625" style="253" customWidth="1"/>
    <col min="462" max="462" width="16.6640625" style="253" customWidth="1"/>
    <col min="463" max="463" width="1.6640625" style="253" customWidth="1"/>
    <col min="464" max="464" width="16.6640625" style="253" customWidth="1"/>
    <col min="465" max="465" width="1.6640625" style="253" customWidth="1"/>
    <col min="466" max="466" width="16.6640625" style="253" customWidth="1"/>
    <col min="467" max="467" width="1.6640625" style="253" customWidth="1"/>
    <col min="468" max="468" width="16.33203125" style="253" customWidth="1"/>
    <col min="469" max="469" width="1.6640625" style="253" customWidth="1"/>
    <col min="470" max="470" width="16.6640625" style="253" customWidth="1"/>
    <col min="471" max="471" width="1.6640625" style="253" customWidth="1"/>
    <col min="472" max="472" width="19.5546875" style="253" customWidth="1"/>
    <col min="473" max="473" width="16.6640625" style="253" customWidth="1"/>
    <col min="474" max="708" width="8.6640625" style="253"/>
    <col min="709" max="709" width="12.6640625" style="253" customWidth="1"/>
    <col min="710" max="710" width="75.6640625" style="253" customWidth="1"/>
    <col min="711" max="714" width="18.6640625" style="253" customWidth="1"/>
    <col min="715" max="715" width="1.6640625" style="253" customWidth="1"/>
    <col min="716" max="716" width="18.6640625" style="253" customWidth="1"/>
    <col min="717" max="717" width="1.6640625" style="253" customWidth="1"/>
    <col min="718" max="718" width="16.6640625" style="253" customWidth="1"/>
    <col min="719" max="719" width="1.6640625" style="253" customWidth="1"/>
    <col min="720" max="720" width="16.6640625" style="253" customWidth="1"/>
    <col min="721" max="721" width="1.6640625" style="253" customWidth="1"/>
    <col min="722" max="722" width="16.6640625" style="253" customWidth="1"/>
    <col min="723" max="723" width="1.6640625" style="253" customWidth="1"/>
    <col min="724" max="724" width="16.33203125" style="253" customWidth="1"/>
    <col min="725" max="725" width="1.6640625" style="253" customWidth="1"/>
    <col min="726" max="726" width="16.6640625" style="253" customWidth="1"/>
    <col min="727" max="727" width="1.6640625" style="253" customWidth="1"/>
    <col min="728" max="728" width="19.5546875" style="253" customWidth="1"/>
    <col min="729" max="729" width="16.6640625" style="253" customWidth="1"/>
    <col min="730" max="964" width="8.6640625" style="253"/>
    <col min="965" max="965" width="12.6640625" style="253" customWidth="1"/>
    <col min="966" max="966" width="75.6640625" style="253" customWidth="1"/>
    <col min="967" max="970" width="18.6640625" style="253" customWidth="1"/>
    <col min="971" max="971" width="1.6640625" style="253" customWidth="1"/>
    <col min="972" max="972" width="18.6640625" style="253" customWidth="1"/>
    <col min="973" max="973" width="1.6640625" style="253" customWidth="1"/>
    <col min="974" max="974" width="16.6640625" style="253" customWidth="1"/>
    <col min="975" max="975" width="1.6640625" style="253" customWidth="1"/>
    <col min="976" max="976" width="16.6640625" style="253" customWidth="1"/>
    <col min="977" max="977" width="1.6640625" style="253" customWidth="1"/>
    <col min="978" max="978" width="16.6640625" style="253" customWidth="1"/>
    <col min="979" max="979" width="1.6640625" style="253" customWidth="1"/>
    <col min="980" max="980" width="16.33203125" style="253" customWidth="1"/>
    <col min="981" max="981" width="1.6640625" style="253" customWidth="1"/>
    <col min="982" max="982" width="16.6640625" style="253" customWidth="1"/>
    <col min="983" max="983" width="1.6640625" style="253" customWidth="1"/>
    <col min="984" max="984" width="19.5546875" style="253" customWidth="1"/>
    <col min="985" max="985" width="16.6640625" style="253" customWidth="1"/>
    <col min="986" max="1220" width="8.6640625" style="253"/>
    <col min="1221" max="1221" width="12.6640625" style="253" customWidth="1"/>
    <col min="1222" max="1222" width="75.6640625" style="253" customWidth="1"/>
    <col min="1223" max="1226" width="18.6640625" style="253" customWidth="1"/>
    <col min="1227" max="1227" width="1.6640625" style="253" customWidth="1"/>
    <col min="1228" max="1228" width="18.6640625" style="253" customWidth="1"/>
    <col min="1229" max="1229" width="1.6640625" style="253" customWidth="1"/>
    <col min="1230" max="1230" width="16.6640625" style="253" customWidth="1"/>
    <col min="1231" max="1231" width="1.6640625" style="253" customWidth="1"/>
    <col min="1232" max="1232" width="16.6640625" style="253" customWidth="1"/>
    <col min="1233" max="1233" width="1.6640625" style="253" customWidth="1"/>
    <col min="1234" max="1234" width="16.6640625" style="253" customWidth="1"/>
    <col min="1235" max="1235" width="1.6640625" style="253" customWidth="1"/>
    <col min="1236" max="1236" width="16.33203125" style="253" customWidth="1"/>
    <col min="1237" max="1237" width="1.6640625" style="253" customWidth="1"/>
    <col min="1238" max="1238" width="16.6640625" style="253" customWidth="1"/>
    <col min="1239" max="1239" width="1.6640625" style="253" customWidth="1"/>
    <col min="1240" max="1240" width="19.5546875" style="253" customWidth="1"/>
    <col min="1241" max="1241" width="16.6640625" style="253" customWidth="1"/>
    <col min="1242" max="1476" width="8.6640625" style="253"/>
    <col min="1477" max="1477" width="12.6640625" style="253" customWidth="1"/>
    <col min="1478" max="1478" width="75.6640625" style="253" customWidth="1"/>
    <col min="1479" max="1482" width="18.6640625" style="253" customWidth="1"/>
    <col min="1483" max="1483" width="1.6640625" style="253" customWidth="1"/>
    <col min="1484" max="1484" width="18.6640625" style="253" customWidth="1"/>
    <col min="1485" max="1485" width="1.6640625" style="253" customWidth="1"/>
    <col min="1486" max="1486" width="16.6640625" style="253" customWidth="1"/>
    <col min="1487" max="1487" width="1.6640625" style="253" customWidth="1"/>
    <col min="1488" max="1488" width="16.6640625" style="253" customWidth="1"/>
    <col min="1489" max="1489" width="1.6640625" style="253" customWidth="1"/>
    <col min="1490" max="1490" width="16.6640625" style="253" customWidth="1"/>
    <col min="1491" max="1491" width="1.6640625" style="253" customWidth="1"/>
    <col min="1492" max="1492" width="16.33203125" style="253" customWidth="1"/>
    <col min="1493" max="1493" width="1.6640625" style="253" customWidth="1"/>
    <col min="1494" max="1494" width="16.6640625" style="253" customWidth="1"/>
    <col min="1495" max="1495" width="1.6640625" style="253" customWidth="1"/>
    <col min="1496" max="1496" width="19.5546875" style="253" customWidth="1"/>
    <col min="1497" max="1497" width="16.6640625" style="253" customWidth="1"/>
    <col min="1498" max="1732" width="8.6640625" style="253"/>
    <col min="1733" max="1733" width="12.6640625" style="253" customWidth="1"/>
    <col min="1734" max="1734" width="75.6640625" style="253" customWidth="1"/>
    <col min="1735" max="1738" width="18.6640625" style="253" customWidth="1"/>
    <col min="1739" max="1739" width="1.6640625" style="253" customWidth="1"/>
    <col min="1740" max="1740" width="18.6640625" style="253" customWidth="1"/>
    <col min="1741" max="1741" width="1.6640625" style="253" customWidth="1"/>
    <col min="1742" max="1742" width="16.6640625" style="253" customWidth="1"/>
    <col min="1743" max="1743" width="1.6640625" style="253" customWidth="1"/>
    <col min="1744" max="1744" width="16.6640625" style="253" customWidth="1"/>
    <col min="1745" max="1745" width="1.6640625" style="253" customWidth="1"/>
    <col min="1746" max="1746" width="16.6640625" style="253" customWidth="1"/>
    <col min="1747" max="1747" width="1.6640625" style="253" customWidth="1"/>
    <col min="1748" max="1748" width="16.33203125" style="253" customWidth="1"/>
    <col min="1749" max="1749" width="1.6640625" style="253" customWidth="1"/>
    <col min="1750" max="1750" width="16.6640625" style="253" customWidth="1"/>
    <col min="1751" max="1751" width="1.6640625" style="253" customWidth="1"/>
    <col min="1752" max="1752" width="19.5546875" style="253" customWidth="1"/>
    <col min="1753" max="1753" width="16.6640625" style="253" customWidth="1"/>
    <col min="1754" max="1988" width="8.6640625" style="253"/>
    <col min="1989" max="1989" width="12.6640625" style="253" customWidth="1"/>
    <col min="1990" max="1990" width="75.6640625" style="253" customWidth="1"/>
    <col min="1991" max="1994" width="18.6640625" style="253" customWidth="1"/>
    <col min="1995" max="1995" width="1.6640625" style="253" customWidth="1"/>
    <col min="1996" max="1996" width="18.6640625" style="253" customWidth="1"/>
    <col min="1997" max="1997" width="1.6640625" style="253" customWidth="1"/>
    <col min="1998" max="1998" width="16.6640625" style="253" customWidth="1"/>
    <col min="1999" max="1999" width="1.6640625" style="253" customWidth="1"/>
    <col min="2000" max="2000" width="16.6640625" style="253" customWidth="1"/>
    <col min="2001" max="2001" width="1.6640625" style="253" customWidth="1"/>
    <col min="2002" max="2002" width="16.6640625" style="253" customWidth="1"/>
    <col min="2003" max="2003" width="1.6640625" style="253" customWidth="1"/>
    <col min="2004" max="2004" width="16.33203125" style="253" customWidth="1"/>
    <col min="2005" max="2005" width="1.6640625" style="253" customWidth="1"/>
    <col min="2006" max="2006" width="16.6640625" style="253" customWidth="1"/>
    <col min="2007" max="2007" width="1.6640625" style="253" customWidth="1"/>
    <col min="2008" max="2008" width="19.5546875" style="253" customWidth="1"/>
    <col min="2009" max="2009" width="16.6640625" style="253" customWidth="1"/>
    <col min="2010" max="2244" width="8.6640625" style="253"/>
    <col min="2245" max="2245" width="12.6640625" style="253" customWidth="1"/>
    <col min="2246" max="2246" width="75.6640625" style="253" customWidth="1"/>
    <col min="2247" max="2250" width="18.6640625" style="253" customWidth="1"/>
    <col min="2251" max="2251" width="1.6640625" style="253" customWidth="1"/>
    <col min="2252" max="2252" width="18.6640625" style="253" customWidth="1"/>
    <col min="2253" max="2253" width="1.6640625" style="253" customWidth="1"/>
    <col min="2254" max="2254" width="16.6640625" style="253" customWidth="1"/>
    <col min="2255" max="2255" width="1.6640625" style="253" customWidth="1"/>
    <col min="2256" max="2256" width="16.6640625" style="253" customWidth="1"/>
    <col min="2257" max="2257" width="1.6640625" style="253" customWidth="1"/>
    <col min="2258" max="2258" width="16.6640625" style="253" customWidth="1"/>
    <col min="2259" max="2259" width="1.6640625" style="253" customWidth="1"/>
    <col min="2260" max="2260" width="16.33203125" style="253" customWidth="1"/>
    <col min="2261" max="2261" width="1.6640625" style="253" customWidth="1"/>
    <col min="2262" max="2262" width="16.6640625" style="253" customWidth="1"/>
    <col min="2263" max="2263" width="1.6640625" style="253" customWidth="1"/>
    <col min="2264" max="2264" width="19.5546875" style="253" customWidth="1"/>
    <col min="2265" max="2265" width="16.6640625" style="253" customWidth="1"/>
    <col min="2266" max="2500" width="8.6640625" style="253"/>
    <col min="2501" max="2501" width="12.6640625" style="253" customWidth="1"/>
    <col min="2502" max="2502" width="75.6640625" style="253" customWidth="1"/>
    <col min="2503" max="2506" width="18.6640625" style="253" customWidth="1"/>
    <col min="2507" max="2507" width="1.6640625" style="253" customWidth="1"/>
    <col min="2508" max="2508" width="18.6640625" style="253" customWidth="1"/>
    <col min="2509" max="2509" width="1.6640625" style="253" customWidth="1"/>
    <col min="2510" max="2510" width="16.6640625" style="253" customWidth="1"/>
    <col min="2511" max="2511" width="1.6640625" style="253" customWidth="1"/>
    <col min="2512" max="2512" width="16.6640625" style="253" customWidth="1"/>
    <col min="2513" max="2513" width="1.6640625" style="253" customWidth="1"/>
    <col min="2514" max="2514" width="16.6640625" style="253" customWidth="1"/>
    <col min="2515" max="2515" width="1.6640625" style="253" customWidth="1"/>
    <col min="2516" max="2516" width="16.33203125" style="253" customWidth="1"/>
    <col min="2517" max="2517" width="1.6640625" style="253" customWidth="1"/>
    <col min="2518" max="2518" width="16.6640625" style="253" customWidth="1"/>
    <col min="2519" max="2519" width="1.6640625" style="253" customWidth="1"/>
    <col min="2520" max="2520" width="19.5546875" style="253" customWidth="1"/>
    <col min="2521" max="2521" width="16.6640625" style="253" customWidth="1"/>
    <col min="2522" max="2756" width="8.6640625" style="253"/>
    <col min="2757" max="2757" width="12.6640625" style="253" customWidth="1"/>
    <col min="2758" max="2758" width="75.6640625" style="253" customWidth="1"/>
    <col min="2759" max="2762" width="18.6640625" style="253" customWidth="1"/>
    <col min="2763" max="2763" width="1.6640625" style="253" customWidth="1"/>
    <col min="2764" max="2764" width="18.6640625" style="253" customWidth="1"/>
    <col min="2765" max="2765" width="1.6640625" style="253" customWidth="1"/>
    <col min="2766" max="2766" width="16.6640625" style="253" customWidth="1"/>
    <col min="2767" max="2767" width="1.6640625" style="253" customWidth="1"/>
    <col min="2768" max="2768" width="16.6640625" style="253" customWidth="1"/>
    <col min="2769" max="2769" width="1.6640625" style="253" customWidth="1"/>
    <col min="2770" max="2770" width="16.6640625" style="253" customWidth="1"/>
    <col min="2771" max="2771" width="1.6640625" style="253" customWidth="1"/>
    <col min="2772" max="2772" width="16.33203125" style="253" customWidth="1"/>
    <col min="2773" max="2773" width="1.6640625" style="253" customWidth="1"/>
    <col min="2774" max="2774" width="16.6640625" style="253" customWidth="1"/>
    <col min="2775" max="2775" width="1.6640625" style="253" customWidth="1"/>
    <col min="2776" max="2776" width="19.5546875" style="253" customWidth="1"/>
    <col min="2777" max="2777" width="16.6640625" style="253" customWidth="1"/>
    <col min="2778" max="3012" width="8.6640625" style="253"/>
    <col min="3013" max="3013" width="12.6640625" style="253" customWidth="1"/>
    <col min="3014" max="3014" width="75.6640625" style="253" customWidth="1"/>
    <col min="3015" max="3018" width="18.6640625" style="253" customWidth="1"/>
    <col min="3019" max="3019" width="1.6640625" style="253" customWidth="1"/>
    <col min="3020" max="3020" width="18.6640625" style="253" customWidth="1"/>
    <col min="3021" max="3021" width="1.6640625" style="253" customWidth="1"/>
    <col min="3022" max="3022" width="16.6640625" style="253" customWidth="1"/>
    <col min="3023" max="3023" width="1.6640625" style="253" customWidth="1"/>
    <col min="3024" max="3024" width="16.6640625" style="253" customWidth="1"/>
    <col min="3025" max="3025" width="1.6640625" style="253" customWidth="1"/>
    <col min="3026" max="3026" width="16.6640625" style="253" customWidth="1"/>
    <col min="3027" max="3027" width="1.6640625" style="253" customWidth="1"/>
    <col min="3028" max="3028" width="16.33203125" style="253" customWidth="1"/>
    <col min="3029" max="3029" width="1.6640625" style="253" customWidth="1"/>
    <col min="3030" max="3030" width="16.6640625" style="253" customWidth="1"/>
    <col min="3031" max="3031" width="1.6640625" style="253" customWidth="1"/>
    <col min="3032" max="3032" width="19.5546875" style="253" customWidth="1"/>
    <col min="3033" max="3033" width="16.6640625" style="253" customWidth="1"/>
    <col min="3034" max="3268" width="8.6640625" style="253"/>
    <col min="3269" max="3269" width="12.6640625" style="253" customWidth="1"/>
    <col min="3270" max="3270" width="75.6640625" style="253" customWidth="1"/>
    <col min="3271" max="3274" width="18.6640625" style="253" customWidth="1"/>
    <col min="3275" max="3275" width="1.6640625" style="253" customWidth="1"/>
    <col min="3276" max="3276" width="18.6640625" style="253" customWidth="1"/>
    <col min="3277" max="3277" width="1.6640625" style="253" customWidth="1"/>
    <col min="3278" max="3278" width="16.6640625" style="253" customWidth="1"/>
    <col min="3279" max="3279" width="1.6640625" style="253" customWidth="1"/>
    <col min="3280" max="3280" width="16.6640625" style="253" customWidth="1"/>
    <col min="3281" max="3281" width="1.6640625" style="253" customWidth="1"/>
    <col min="3282" max="3282" width="16.6640625" style="253" customWidth="1"/>
    <col min="3283" max="3283" width="1.6640625" style="253" customWidth="1"/>
    <col min="3284" max="3284" width="16.33203125" style="253" customWidth="1"/>
    <col min="3285" max="3285" width="1.6640625" style="253" customWidth="1"/>
    <col min="3286" max="3286" width="16.6640625" style="253" customWidth="1"/>
    <col min="3287" max="3287" width="1.6640625" style="253" customWidth="1"/>
    <col min="3288" max="3288" width="19.5546875" style="253" customWidth="1"/>
    <col min="3289" max="3289" width="16.6640625" style="253" customWidth="1"/>
    <col min="3290" max="3524" width="8.6640625" style="253"/>
    <col min="3525" max="3525" width="12.6640625" style="253" customWidth="1"/>
    <col min="3526" max="3526" width="75.6640625" style="253" customWidth="1"/>
    <col min="3527" max="3530" width="18.6640625" style="253" customWidth="1"/>
    <col min="3531" max="3531" width="1.6640625" style="253" customWidth="1"/>
    <col min="3532" max="3532" width="18.6640625" style="253" customWidth="1"/>
    <col min="3533" max="3533" width="1.6640625" style="253" customWidth="1"/>
    <col min="3534" max="3534" width="16.6640625" style="253" customWidth="1"/>
    <col min="3535" max="3535" width="1.6640625" style="253" customWidth="1"/>
    <col min="3536" max="3536" width="16.6640625" style="253" customWidth="1"/>
    <col min="3537" max="3537" width="1.6640625" style="253" customWidth="1"/>
    <col min="3538" max="3538" width="16.6640625" style="253" customWidth="1"/>
    <col min="3539" max="3539" width="1.6640625" style="253" customWidth="1"/>
    <col min="3540" max="3540" width="16.33203125" style="253" customWidth="1"/>
    <col min="3541" max="3541" width="1.6640625" style="253" customWidth="1"/>
    <col min="3542" max="3542" width="16.6640625" style="253" customWidth="1"/>
    <col min="3543" max="3543" width="1.6640625" style="253" customWidth="1"/>
    <col min="3544" max="3544" width="19.5546875" style="253" customWidth="1"/>
    <col min="3545" max="3545" width="16.6640625" style="253" customWidth="1"/>
    <col min="3546" max="3780" width="8.6640625" style="253"/>
    <col min="3781" max="3781" width="12.6640625" style="253" customWidth="1"/>
    <col min="3782" max="3782" width="75.6640625" style="253" customWidth="1"/>
    <col min="3783" max="3786" width="18.6640625" style="253" customWidth="1"/>
    <col min="3787" max="3787" width="1.6640625" style="253" customWidth="1"/>
    <col min="3788" max="3788" width="18.6640625" style="253" customWidth="1"/>
    <col min="3789" max="3789" width="1.6640625" style="253" customWidth="1"/>
    <col min="3790" max="3790" width="16.6640625" style="253" customWidth="1"/>
    <col min="3791" max="3791" width="1.6640625" style="253" customWidth="1"/>
    <col min="3792" max="3792" width="16.6640625" style="253" customWidth="1"/>
    <col min="3793" max="3793" width="1.6640625" style="253" customWidth="1"/>
    <col min="3794" max="3794" width="16.6640625" style="253" customWidth="1"/>
    <col min="3795" max="3795" width="1.6640625" style="253" customWidth="1"/>
    <col min="3796" max="3796" width="16.33203125" style="253" customWidth="1"/>
    <col min="3797" max="3797" width="1.6640625" style="253" customWidth="1"/>
    <col min="3798" max="3798" width="16.6640625" style="253" customWidth="1"/>
    <col min="3799" max="3799" width="1.6640625" style="253" customWidth="1"/>
    <col min="3800" max="3800" width="19.5546875" style="253" customWidth="1"/>
    <col min="3801" max="3801" width="16.6640625" style="253" customWidth="1"/>
    <col min="3802" max="4036" width="8.6640625" style="253"/>
    <col min="4037" max="4037" width="12.6640625" style="253" customWidth="1"/>
    <col min="4038" max="4038" width="75.6640625" style="253" customWidth="1"/>
    <col min="4039" max="4042" width="18.6640625" style="253" customWidth="1"/>
    <col min="4043" max="4043" width="1.6640625" style="253" customWidth="1"/>
    <col min="4044" max="4044" width="18.6640625" style="253" customWidth="1"/>
    <col min="4045" max="4045" width="1.6640625" style="253" customWidth="1"/>
    <col min="4046" max="4046" width="16.6640625" style="253" customWidth="1"/>
    <col min="4047" max="4047" width="1.6640625" style="253" customWidth="1"/>
    <col min="4048" max="4048" width="16.6640625" style="253" customWidth="1"/>
    <col min="4049" max="4049" width="1.6640625" style="253" customWidth="1"/>
    <col min="4050" max="4050" width="16.6640625" style="253" customWidth="1"/>
    <col min="4051" max="4051" width="1.6640625" style="253" customWidth="1"/>
    <col min="4052" max="4052" width="16.33203125" style="253" customWidth="1"/>
    <col min="4053" max="4053" width="1.6640625" style="253" customWidth="1"/>
    <col min="4054" max="4054" width="16.6640625" style="253" customWidth="1"/>
    <col min="4055" max="4055" width="1.6640625" style="253" customWidth="1"/>
    <col min="4056" max="4056" width="19.5546875" style="253" customWidth="1"/>
    <col min="4057" max="4057" width="16.6640625" style="253" customWidth="1"/>
    <col min="4058" max="4292" width="8.6640625" style="253"/>
    <col min="4293" max="4293" width="12.6640625" style="253" customWidth="1"/>
    <col min="4294" max="4294" width="75.6640625" style="253" customWidth="1"/>
    <col min="4295" max="4298" width="18.6640625" style="253" customWidth="1"/>
    <col min="4299" max="4299" width="1.6640625" style="253" customWidth="1"/>
    <col min="4300" max="4300" width="18.6640625" style="253" customWidth="1"/>
    <col min="4301" max="4301" width="1.6640625" style="253" customWidth="1"/>
    <col min="4302" max="4302" width="16.6640625" style="253" customWidth="1"/>
    <col min="4303" max="4303" width="1.6640625" style="253" customWidth="1"/>
    <col min="4304" max="4304" width="16.6640625" style="253" customWidth="1"/>
    <col min="4305" max="4305" width="1.6640625" style="253" customWidth="1"/>
    <col min="4306" max="4306" width="16.6640625" style="253" customWidth="1"/>
    <col min="4307" max="4307" width="1.6640625" style="253" customWidth="1"/>
    <col min="4308" max="4308" width="16.33203125" style="253" customWidth="1"/>
    <col min="4309" max="4309" width="1.6640625" style="253" customWidth="1"/>
    <col min="4310" max="4310" width="16.6640625" style="253" customWidth="1"/>
    <col min="4311" max="4311" width="1.6640625" style="253" customWidth="1"/>
    <col min="4312" max="4312" width="19.5546875" style="253" customWidth="1"/>
    <col min="4313" max="4313" width="16.6640625" style="253" customWidth="1"/>
    <col min="4314" max="4548" width="8.6640625" style="253"/>
    <col min="4549" max="4549" width="12.6640625" style="253" customWidth="1"/>
    <col min="4550" max="4550" width="75.6640625" style="253" customWidth="1"/>
    <col min="4551" max="4554" width="18.6640625" style="253" customWidth="1"/>
    <col min="4555" max="4555" width="1.6640625" style="253" customWidth="1"/>
    <col min="4556" max="4556" width="18.6640625" style="253" customWidth="1"/>
    <col min="4557" max="4557" width="1.6640625" style="253" customWidth="1"/>
    <col min="4558" max="4558" width="16.6640625" style="253" customWidth="1"/>
    <col min="4559" max="4559" width="1.6640625" style="253" customWidth="1"/>
    <col min="4560" max="4560" width="16.6640625" style="253" customWidth="1"/>
    <col min="4561" max="4561" width="1.6640625" style="253" customWidth="1"/>
    <col min="4562" max="4562" width="16.6640625" style="253" customWidth="1"/>
    <col min="4563" max="4563" width="1.6640625" style="253" customWidth="1"/>
    <col min="4564" max="4564" width="16.33203125" style="253" customWidth="1"/>
    <col min="4565" max="4565" width="1.6640625" style="253" customWidth="1"/>
    <col min="4566" max="4566" width="16.6640625" style="253" customWidth="1"/>
    <col min="4567" max="4567" width="1.6640625" style="253" customWidth="1"/>
    <col min="4568" max="4568" width="19.5546875" style="253" customWidth="1"/>
    <col min="4569" max="4569" width="16.6640625" style="253" customWidth="1"/>
    <col min="4570" max="4804" width="8.6640625" style="253"/>
    <col min="4805" max="4805" width="12.6640625" style="253" customWidth="1"/>
    <col min="4806" max="4806" width="75.6640625" style="253" customWidth="1"/>
    <col min="4807" max="4810" width="18.6640625" style="253" customWidth="1"/>
    <col min="4811" max="4811" width="1.6640625" style="253" customWidth="1"/>
    <col min="4812" max="4812" width="18.6640625" style="253" customWidth="1"/>
    <col min="4813" max="4813" width="1.6640625" style="253" customWidth="1"/>
    <col min="4814" max="4814" width="16.6640625" style="253" customWidth="1"/>
    <col min="4815" max="4815" width="1.6640625" style="253" customWidth="1"/>
    <col min="4816" max="4816" width="16.6640625" style="253" customWidth="1"/>
    <col min="4817" max="4817" width="1.6640625" style="253" customWidth="1"/>
    <col min="4818" max="4818" width="16.6640625" style="253" customWidth="1"/>
    <col min="4819" max="4819" width="1.6640625" style="253" customWidth="1"/>
    <col min="4820" max="4820" width="16.33203125" style="253" customWidth="1"/>
    <col min="4821" max="4821" width="1.6640625" style="253" customWidth="1"/>
    <col min="4822" max="4822" width="16.6640625" style="253" customWidth="1"/>
    <col min="4823" max="4823" width="1.6640625" style="253" customWidth="1"/>
    <col min="4824" max="4824" width="19.5546875" style="253" customWidth="1"/>
    <col min="4825" max="4825" width="16.6640625" style="253" customWidth="1"/>
    <col min="4826" max="5060" width="8.6640625" style="253"/>
    <col min="5061" max="5061" width="12.6640625" style="253" customWidth="1"/>
    <col min="5062" max="5062" width="75.6640625" style="253" customWidth="1"/>
    <col min="5063" max="5066" width="18.6640625" style="253" customWidth="1"/>
    <col min="5067" max="5067" width="1.6640625" style="253" customWidth="1"/>
    <col min="5068" max="5068" width="18.6640625" style="253" customWidth="1"/>
    <col min="5069" max="5069" width="1.6640625" style="253" customWidth="1"/>
    <col min="5070" max="5070" width="16.6640625" style="253" customWidth="1"/>
    <col min="5071" max="5071" width="1.6640625" style="253" customWidth="1"/>
    <col min="5072" max="5072" width="16.6640625" style="253" customWidth="1"/>
    <col min="5073" max="5073" width="1.6640625" style="253" customWidth="1"/>
    <col min="5074" max="5074" width="16.6640625" style="253" customWidth="1"/>
    <col min="5075" max="5075" width="1.6640625" style="253" customWidth="1"/>
    <col min="5076" max="5076" width="16.33203125" style="253" customWidth="1"/>
    <col min="5077" max="5077" width="1.6640625" style="253" customWidth="1"/>
    <col min="5078" max="5078" width="16.6640625" style="253" customWidth="1"/>
    <col min="5079" max="5079" width="1.6640625" style="253" customWidth="1"/>
    <col min="5080" max="5080" width="19.5546875" style="253" customWidth="1"/>
    <col min="5081" max="5081" width="16.6640625" style="253" customWidth="1"/>
    <col min="5082" max="5316" width="8.6640625" style="253"/>
    <col min="5317" max="5317" width="12.6640625" style="253" customWidth="1"/>
    <col min="5318" max="5318" width="75.6640625" style="253" customWidth="1"/>
    <col min="5319" max="5322" width="18.6640625" style="253" customWidth="1"/>
    <col min="5323" max="5323" width="1.6640625" style="253" customWidth="1"/>
    <col min="5324" max="5324" width="18.6640625" style="253" customWidth="1"/>
    <col min="5325" max="5325" width="1.6640625" style="253" customWidth="1"/>
    <col min="5326" max="5326" width="16.6640625" style="253" customWidth="1"/>
    <col min="5327" max="5327" width="1.6640625" style="253" customWidth="1"/>
    <col min="5328" max="5328" width="16.6640625" style="253" customWidth="1"/>
    <col min="5329" max="5329" width="1.6640625" style="253" customWidth="1"/>
    <col min="5330" max="5330" width="16.6640625" style="253" customWidth="1"/>
    <col min="5331" max="5331" width="1.6640625" style="253" customWidth="1"/>
    <col min="5332" max="5332" width="16.33203125" style="253" customWidth="1"/>
    <col min="5333" max="5333" width="1.6640625" style="253" customWidth="1"/>
    <col min="5334" max="5334" width="16.6640625" style="253" customWidth="1"/>
    <col min="5335" max="5335" width="1.6640625" style="253" customWidth="1"/>
    <col min="5336" max="5336" width="19.5546875" style="253" customWidth="1"/>
    <col min="5337" max="5337" width="16.6640625" style="253" customWidth="1"/>
    <col min="5338" max="5572" width="8.6640625" style="253"/>
    <col min="5573" max="5573" width="12.6640625" style="253" customWidth="1"/>
    <col min="5574" max="5574" width="75.6640625" style="253" customWidth="1"/>
    <col min="5575" max="5578" width="18.6640625" style="253" customWidth="1"/>
    <col min="5579" max="5579" width="1.6640625" style="253" customWidth="1"/>
    <col min="5580" max="5580" width="18.6640625" style="253" customWidth="1"/>
    <col min="5581" max="5581" width="1.6640625" style="253" customWidth="1"/>
    <col min="5582" max="5582" width="16.6640625" style="253" customWidth="1"/>
    <col min="5583" max="5583" width="1.6640625" style="253" customWidth="1"/>
    <col min="5584" max="5584" width="16.6640625" style="253" customWidth="1"/>
    <col min="5585" max="5585" width="1.6640625" style="253" customWidth="1"/>
    <col min="5586" max="5586" width="16.6640625" style="253" customWidth="1"/>
    <col min="5587" max="5587" width="1.6640625" style="253" customWidth="1"/>
    <col min="5588" max="5588" width="16.33203125" style="253" customWidth="1"/>
    <col min="5589" max="5589" width="1.6640625" style="253" customWidth="1"/>
    <col min="5590" max="5590" width="16.6640625" style="253" customWidth="1"/>
    <col min="5591" max="5591" width="1.6640625" style="253" customWidth="1"/>
    <col min="5592" max="5592" width="19.5546875" style="253" customWidth="1"/>
    <col min="5593" max="5593" width="16.6640625" style="253" customWidth="1"/>
    <col min="5594" max="5828" width="8.6640625" style="253"/>
    <col min="5829" max="5829" width="12.6640625" style="253" customWidth="1"/>
    <col min="5830" max="5830" width="75.6640625" style="253" customWidth="1"/>
    <col min="5831" max="5834" width="18.6640625" style="253" customWidth="1"/>
    <col min="5835" max="5835" width="1.6640625" style="253" customWidth="1"/>
    <col min="5836" max="5836" width="18.6640625" style="253" customWidth="1"/>
    <col min="5837" max="5837" width="1.6640625" style="253" customWidth="1"/>
    <col min="5838" max="5838" width="16.6640625" style="253" customWidth="1"/>
    <col min="5839" max="5839" width="1.6640625" style="253" customWidth="1"/>
    <col min="5840" max="5840" width="16.6640625" style="253" customWidth="1"/>
    <col min="5841" max="5841" width="1.6640625" style="253" customWidth="1"/>
    <col min="5842" max="5842" width="16.6640625" style="253" customWidth="1"/>
    <col min="5843" max="5843" width="1.6640625" style="253" customWidth="1"/>
    <col min="5844" max="5844" width="16.33203125" style="253" customWidth="1"/>
    <col min="5845" max="5845" width="1.6640625" style="253" customWidth="1"/>
    <col min="5846" max="5846" width="16.6640625" style="253" customWidth="1"/>
    <col min="5847" max="5847" width="1.6640625" style="253" customWidth="1"/>
    <col min="5848" max="5848" width="19.5546875" style="253" customWidth="1"/>
    <col min="5849" max="5849" width="16.6640625" style="253" customWidth="1"/>
    <col min="5850" max="6084" width="8.6640625" style="253"/>
    <col min="6085" max="6085" width="12.6640625" style="253" customWidth="1"/>
    <col min="6086" max="6086" width="75.6640625" style="253" customWidth="1"/>
    <col min="6087" max="6090" width="18.6640625" style="253" customWidth="1"/>
    <col min="6091" max="6091" width="1.6640625" style="253" customWidth="1"/>
    <col min="6092" max="6092" width="18.6640625" style="253" customWidth="1"/>
    <col min="6093" max="6093" width="1.6640625" style="253" customWidth="1"/>
    <col min="6094" max="6094" width="16.6640625" style="253" customWidth="1"/>
    <col min="6095" max="6095" width="1.6640625" style="253" customWidth="1"/>
    <col min="6096" max="6096" width="16.6640625" style="253" customWidth="1"/>
    <col min="6097" max="6097" width="1.6640625" style="253" customWidth="1"/>
    <col min="6098" max="6098" width="16.6640625" style="253" customWidth="1"/>
    <col min="6099" max="6099" width="1.6640625" style="253" customWidth="1"/>
    <col min="6100" max="6100" width="16.33203125" style="253" customWidth="1"/>
    <col min="6101" max="6101" width="1.6640625" style="253" customWidth="1"/>
    <col min="6102" max="6102" width="16.6640625" style="253" customWidth="1"/>
    <col min="6103" max="6103" width="1.6640625" style="253" customWidth="1"/>
    <col min="6104" max="6104" width="19.5546875" style="253" customWidth="1"/>
    <col min="6105" max="6105" width="16.6640625" style="253" customWidth="1"/>
    <col min="6106" max="6340" width="8.6640625" style="253"/>
    <col min="6341" max="6341" width="12.6640625" style="253" customWidth="1"/>
    <col min="6342" max="6342" width="75.6640625" style="253" customWidth="1"/>
    <col min="6343" max="6346" width="18.6640625" style="253" customWidth="1"/>
    <col min="6347" max="6347" width="1.6640625" style="253" customWidth="1"/>
    <col min="6348" max="6348" width="18.6640625" style="253" customWidth="1"/>
    <col min="6349" max="6349" width="1.6640625" style="253" customWidth="1"/>
    <col min="6350" max="6350" width="16.6640625" style="253" customWidth="1"/>
    <col min="6351" max="6351" width="1.6640625" style="253" customWidth="1"/>
    <col min="6352" max="6352" width="16.6640625" style="253" customWidth="1"/>
    <col min="6353" max="6353" width="1.6640625" style="253" customWidth="1"/>
    <col min="6354" max="6354" width="16.6640625" style="253" customWidth="1"/>
    <col min="6355" max="6355" width="1.6640625" style="253" customWidth="1"/>
    <col min="6356" max="6356" width="16.33203125" style="253" customWidth="1"/>
    <col min="6357" max="6357" width="1.6640625" style="253" customWidth="1"/>
    <col min="6358" max="6358" width="16.6640625" style="253" customWidth="1"/>
    <col min="6359" max="6359" width="1.6640625" style="253" customWidth="1"/>
    <col min="6360" max="6360" width="19.5546875" style="253" customWidth="1"/>
    <col min="6361" max="6361" width="16.6640625" style="253" customWidth="1"/>
    <col min="6362" max="6596" width="8.6640625" style="253"/>
    <col min="6597" max="6597" width="12.6640625" style="253" customWidth="1"/>
    <col min="6598" max="6598" width="75.6640625" style="253" customWidth="1"/>
    <col min="6599" max="6602" width="18.6640625" style="253" customWidth="1"/>
    <col min="6603" max="6603" width="1.6640625" style="253" customWidth="1"/>
    <col min="6604" max="6604" width="18.6640625" style="253" customWidth="1"/>
    <col min="6605" max="6605" width="1.6640625" style="253" customWidth="1"/>
    <col min="6606" max="6606" width="16.6640625" style="253" customWidth="1"/>
    <col min="6607" max="6607" width="1.6640625" style="253" customWidth="1"/>
    <col min="6608" max="6608" width="16.6640625" style="253" customWidth="1"/>
    <col min="6609" max="6609" width="1.6640625" style="253" customWidth="1"/>
    <col min="6610" max="6610" width="16.6640625" style="253" customWidth="1"/>
    <col min="6611" max="6611" width="1.6640625" style="253" customWidth="1"/>
    <col min="6612" max="6612" width="16.33203125" style="253" customWidth="1"/>
    <col min="6613" max="6613" width="1.6640625" style="253" customWidth="1"/>
    <col min="6614" max="6614" width="16.6640625" style="253" customWidth="1"/>
    <col min="6615" max="6615" width="1.6640625" style="253" customWidth="1"/>
    <col min="6616" max="6616" width="19.5546875" style="253" customWidth="1"/>
    <col min="6617" max="6617" width="16.6640625" style="253" customWidth="1"/>
    <col min="6618" max="6852" width="8.6640625" style="253"/>
    <col min="6853" max="6853" width="12.6640625" style="253" customWidth="1"/>
    <col min="6854" max="6854" width="75.6640625" style="253" customWidth="1"/>
    <col min="6855" max="6858" width="18.6640625" style="253" customWidth="1"/>
    <col min="6859" max="6859" width="1.6640625" style="253" customWidth="1"/>
    <col min="6860" max="6860" width="18.6640625" style="253" customWidth="1"/>
    <col min="6861" max="6861" width="1.6640625" style="253" customWidth="1"/>
    <col min="6862" max="6862" width="16.6640625" style="253" customWidth="1"/>
    <col min="6863" max="6863" width="1.6640625" style="253" customWidth="1"/>
    <col min="6864" max="6864" width="16.6640625" style="253" customWidth="1"/>
    <col min="6865" max="6865" width="1.6640625" style="253" customWidth="1"/>
    <col min="6866" max="6866" width="16.6640625" style="253" customWidth="1"/>
    <col min="6867" max="6867" width="1.6640625" style="253" customWidth="1"/>
    <col min="6868" max="6868" width="16.33203125" style="253" customWidth="1"/>
    <col min="6869" max="6869" width="1.6640625" style="253" customWidth="1"/>
    <col min="6870" max="6870" width="16.6640625" style="253" customWidth="1"/>
    <col min="6871" max="6871" width="1.6640625" style="253" customWidth="1"/>
    <col min="6872" max="6872" width="19.5546875" style="253" customWidth="1"/>
    <col min="6873" max="6873" width="16.6640625" style="253" customWidth="1"/>
    <col min="6874" max="7108" width="8.6640625" style="253"/>
    <col min="7109" max="7109" width="12.6640625" style="253" customWidth="1"/>
    <col min="7110" max="7110" width="75.6640625" style="253" customWidth="1"/>
    <col min="7111" max="7114" width="18.6640625" style="253" customWidth="1"/>
    <col min="7115" max="7115" width="1.6640625" style="253" customWidth="1"/>
    <col min="7116" max="7116" width="18.6640625" style="253" customWidth="1"/>
    <col min="7117" max="7117" width="1.6640625" style="253" customWidth="1"/>
    <col min="7118" max="7118" width="16.6640625" style="253" customWidth="1"/>
    <col min="7119" max="7119" width="1.6640625" style="253" customWidth="1"/>
    <col min="7120" max="7120" width="16.6640625" style="253" customWidth="1"/>
    <col min="7121" max="7121" width="1.6640625" style="253" customWidth="1"/>
    <col min="7122" max="7122" width="16.6640625" style="253" customWidth="1"/>
    <col min="7123" max="7123" width="1.6640625" style="253" customWidth="1"/>
    <col min="7124" max="7124" width="16.33203125" style="253" customWidth="1"/>
    <col min="7125" max="7125" width="1.6640625" style="253" customWidth="1"/>
    <col min="7126" max="7126" width="16.6640625" style="253" customWidth="1"/>
    <col min="7127" max="7127" width="1.6640625" style="253" customWidth="1"/>
    <col min="7128" max="7128" width="19.5546875" style="253" customWidth="1"/>
    <col min="7129" max="7129" width="16.6640625" style="253" customWidth="1"/>
    <col min="7130" max="7364" width="8.6640625" style="253"/>
    <col min="7365" max="7365" width="12.6640625" style="253" customWidth="1"/>
    <col min="7366" max="7366" width="75.6640625" style="253" customWidth="1"/>
    <col min="7367" max="7370" width="18.6640625" style="253" customWidth="1"/>
    <col min="7371" max="7371" width="1.6640625" style="253" customWidth="1"/>
    <col min="7372" max="7372" width="18.6640625" style="253" customWidth="1"/>
    <col min="7373" max="7373" width="1.6640625" style="253" customWidth="1"/>
    <col min="7374" max="7374" width="16.6640625" style="253" customWidth="1"/>
    <col min="7375" max="7375" width="1.6640625" style="253" customWidth="1"/>
    <col min="7376" max="7376" width="16.6640625" style="253" customWidth="1"/>
    <col min="7377" max="7377" width="1.6640625" style="253" customWidth="1"/>
    <col min="7378" max="7378" width="16.6640625" style="253" customWidth="1"/>
    <col min="7379" max="7379" width="1.6640625" style="253" customWidth="1"/>
    <col min="7380" max="7380" width="16.33203125" style="253" customWidth="1"/>
    <col min="7381" max="7381" width="1.6640625" style="253" customWidth="1"/>
    <col min="7382" max="7382" width="16.6640625" style="253" customWidth="1"/>
    <col min="7383" max="7383" width="1.6640625" style="253" customWidth="1"/>
    <col min="7384" max="7384" width="19.5546875" style="253" customWidth="1"/>
    <col min="7385" max="7385" width="16.6640625" style="253" customWidth="1"/>
    <col min="7386" max="7620" width="8.6640625" style="253"/>
    <col min="7621" max="7621" width="12.6640625" style="253" customWidth="1"/>
    <col min="7622" max="7622" width="75.6640625" style="253" customWidth="1"/>
    <col min="7623" max="7626" width="18.6640625" style="253" customWidth="1"/>
    <col min="7627" max="7627" width="1.6640625" style="253" customWidth="1"/>
    <col min="7628" max="7628" width="18.6640625" style="253" customWidth="1"/>
    <col min="7629" max="7629" width="1.6640625" style="253" customWidth="1"/>
    <col min="7630" max="7630" width="16.6640625" style="253" customWidth="1"/>
    <col min="7631" max="7631" width="1.6640625" style="253" customWidth="1"/>
    <col min="7632" max="7632" width="16.6640625" style="253" customWidth="1"/>
    <col min="7633" max="7633" width="1.6640625" style="253" customWidth="1"/>
    <col min="7634" max="7634" width="16.6640625" style="253" customWidth="1"/>
    <col min="7635" max="7635" width="1.6640625" style="253" customWidth="1"/>
    <col min="7636" max="7636" width="16.33203125" style="253" customWidth="1"/>
    <col min="7637" max="7637" width="1.6640625" style="253" customWidth="1"/>
    <col min="7638" max="7638" width="16.6640625" style="253" customWidth="1"/>
    <col min="7639" max="7639" width="1.6640625" style="253" customWidth="1"/>
    <col min="7640" max="7640" width="19.5546875" style="253" customWidth="1"/>
    <col min="7641" max="7641" width="16.6640625" style="253" customWidth="1"/>
    <col min="7642" max="7876" width="8.6640625" style="253"/>
    <col min="7877" max="7877" width="12.6640625" style="253" customWidth="1"/>
    <col min="7878" max="7878" width="75.6640625" style="253" customWidth="1"/>
    <col min="7879" max="7882" width="18.6640625" style="253" customWidth="1"/>
    <col min="7883" max="7883" width="1.6640625" style="253" customWidth="1"/>
    <col min="7884" max="7884" width="18.6640625" style="253" customWidth="1"/>
    <col min="7885" max="7885" width="1.6640625" style="253" customWidth="1"/>
    <col min="7886" max="7886" width="16.6640625" style="253" customWidth="1"/>
    <col min="7887" max="7887" width="1.6640625" style="253" customWidth="1"/>
    <col min="7888" max="7888" width="16.6640625" style="253" customWidth="1"/>
    <col min="7889" max="7889" width="1.6640625" style="253" customWidth="1"/>
    <col min="7890" max="7890" width="16.6640625" style="253" customWidth="1"/>
    <col min="7891" max="7891" width="1.6640625" style="253" customWidth="1"/>
    <col min="7892" max="7892" width="16.33203125" style="253" customWidth="1"/>
    <col min="7893" max="7893" width="1.6640625" style="253" customWidth="1"/>
    <col min="7894" max="7894" width="16.6640625" style="253" customWidth="1"/>
    <col min="7895" max="7895" width="1.6640625" style="253" customWidth="1"/>
    <col min="7896" max="7896" width="19.5546875" style="253" customWidth="1"/>
    <col min="7897" max="7897" width="16.6640625" style="253" customWidth="1"/>
    <col min="7898" max="8132" width="8.6640625" style="253"/>
    <col min="8133" max="8133" width="12.6640625" style="253" customWidth="1"/>
    <col min="8134" max="8134" width="75.6640625" style="253" customWidth="1"/>
    <col min="8135" max="8138" width="18.6640625" style="253" customWidth="1"/>
    <col min="8139" max="8139" width="1.6640625" style="253" customWidth="1"/>
    <col min="8140" max="8140" width="18.6640625" style="253" customWidth="1"/>
    <col min="8141" max="8141" width="1.6640625" style="253" customWidth="1"/>
    <col min="8142" max="8142" width="16.6640625" style="253" customWidth="1"/>
    <col min="8143" max="8143" width="1.6640625" style="253" customWidth="1"/>
    <col min="8144" max="8144" width="16.6640625" style="253" customWidth="1"/>
    <col min="8145" max="8145" width="1.6640625" style="253" customWidth="1"/>
    <col min="8146" max="8146" width="16.6640625" style="253" customWidth="1"/>
    <col min="8147" max="8147" width="1.6640625" style="253" customWidth="1"/>
    <col min="8148" max="8148" width="16.33203125" style="253" customWidth="1"/>
    <col min="8149" max="8149" width="1.6640625" style="253" customWidth="1"/>
    <col min="8150" max="8150" width="16.6640625" style="253" customWidth="1"/>
    <col min="8151" max="8151" width="1.6640625" style="253" customWidth="1"/>
    <col min="8152" max="8152" width="19.5546875" style="253" customWidth="1"/>
    <col min="8153" max="8153" width="16.6640625" style="253" customWidth="1"/>
    <col min="8154" max="8388" width="8.6640625" style="253"/>
    <col min="8389" max="8389" width="12.6640625" style="253" customWidth="1"/>
    <col min="8390" max="8390" width="75.6640625" style="253" customWidth="1"/>
    <col min="8391" max="8394" width="18.6640625" style="253" customWidth="1"/>
    <col min="8395" max="8395" width="1.6640625" style="253" customWidth="1"/>
    <col min="8396" max="8396" width="18.6640625" style="253" customWidth="1"/>
    <col min="8397" max="8397" width="1.6640625" style="253" customWidth="1"/>
    <col min="8398" max="8398" width="16.6640625" style="253" customWidth="1"/>
    <col min="8399" max="8399" width="1.6640625" style="253" customWidth="1"/>
    <col min="8400" max="8400" width="16.6640625" style="253" customWidth="1"/>
    <col min="8401" max="8401" width="1.6640625" style="253" customWidth="1"/>
    <col min="8402" max="8402" width="16.6640625" style="253" customWidth="1"/>
    <col min="8403" max="8403" width="1.6640625" style="253" customWidth="1"/>
    <col min="8404" max="8404" width="16.33203125" style="253" customWidth="1"/>
    <col min="8405" max="8405" width="1.6640625" style="253" customWidth="1"/>
    <col min="8406" max="8406" width="16.6640625" style="253" customWidth="1"/>
    <col min="8407" max="8407" width="1.6640625" style="253" customWidth="1"/>
    <col min="8408" max="8408" width="19.5546875" style="253" customWidth="1"/>
    <col min="8409" max="8409" width="16.6640625" style="253" customWidth="1"/>
    <col min="8410" max="8644" width="8.6640625" style="253"/>
    <col min="8645" max="8645" width="12.6640625" style="253" customWidth="1"/>
    <col min="8646" max="8646" width="75.6640625" style="253" customWidth="1"/>
    <col min="8647" max="8650" width="18.6640625" style="253" customWidth="1"/>
    <col min="8651" max="8651" width="1.6640625" style="253" customWidth="1"/>
    <col min="8652" max="8652" width="18.6640625" style="253" customWidth="1"/>
    <col min="8653" max="8653" width="1.6640625" style="253" customWidth="1"/>
    <col min="8654" max="8654" width="16.6640625" style="253" customWidth="1"/>
    <col min="8655" max="8655" width="1.6640625" style="253" customWidth="1"/>
    <col min="8656" max="8656" width="16.6640625" style="253" customWidth="1"/>
    <col min="8657" max="8657" width="1.6640625" style="253" customWidth="1"/>
    <col min="8658" max="8658" width="16.6640625" style="253" customWidth="1"/>
    <col min="8659" max="8659" width="1.6640625" style="253" customWidth="1"/>
    <col min="8660" max="8660" width="16.33203125" style="253" customWidth="1"/>
    <col min="8661" max="8661" width="1.6640625" style="253" customWidth="1"/>
    <col min="8662" max="8662" width="16.6640625" style="253" customWidth="1"/>
    <col min="8663" max="8663" width="1.6640625" style="253" customWidth="1"/>
    <col min="8664" max="8664" width="19.5546875" style="253" customWidth="1"/>
    <col min="8665" max="8665" width="16.6640625" style="253" customWidth="1"/>
    <col min="8666" max="8900" width="8.6640625" style="253"/>
    <col min="8901" max="8901" width="12.6640625" style="253" customWidth="1"/>
    <col min="8902" max="8902" width="75.6640625" style="253" customWidth="1"/>
    <col min="8903" max="8906" width="18.6640625" style="253" customWidth="1"/>
    <col min="8907" max="8907" width="1.6640625" style="253" customWidth="1"/>
    <col min="8908" max="8908" width="18.6640625" style="253" customWidth="1"/>
    <col min="8909" max="8909" width="1.6640625" style="253" customWidth="1"/>
    <col min="8910" max="8910" width="16.6640625" style="253" customWidth="1"/>
    <col min="8911" max="8911" width="1.6640625" style="253" customWidth="1"/>
    <col min="8912" max="8912" width="16.6640625" style="253" customWidth="1"/>
    <col min="8913" max="8913" width="1.6640625" style="253" customWidth="1"/>
    <col min="8914" max="8914" width="16.6640625" style="253" customWidth="1"/>
    <col min="8915" max="8915" width="1.6640625" style="253" customWidth="1"/>
    <col min="8916" max="8916" width="16.33203125" style="253" customWidth="1"/>
    <col min="8917" max="8917" width="1.6640625" style="253" customWidth="1"/>
    <col min="8918" max="8918" width="16.6640625" style="253" customWidth="1"/>
    <col min="8919" max="8919" width="1.6640625" style="253" customWidth="1"/>
    <col min="8920" max="8920" width="19.5546875" style="253" customWidth="1"/>
    <col min="8921" max="8921" width="16.6640625" style="253" customWidth="1"/>
    <col min="8922" max="9156" width="8.6640625" style="253"/>
    <col min="9157" max="9157" width="12.6640625" style="253" customWidth="1"/>
    <col min="9158" max="9158" width="75.6640625" style="253" customWidth="1"/>
    <col min="9159" max="9162" width="18.6640625" style="253" customWidth="1"/>
    <col min="9163" max="9163" width="1.6640625" style="253" customWidth="1"/>
    <col min="9164" max="9164" width="18.6640625" style="253" customWidth="1"/>
    <col min="9165" max="9165" width="1.6640625" style="253" customWidth="1"/>
    <col min="9166" max="9166" width="16.6640625" style="253" customWidth="1"/>
    <col min="9167" max="9167" width="1.6640625" style="253" customWidth="1"/>
    <col min="9168" max="9168" width="16.6640625" style="253" customWidth="1"/>
    <col min="9169" max="9169" width="1.6640625" style="253" customWidth="1"/>
    <col min="9170" max="9170" width="16.6640625" style="253" customWidth="1"/>
    <col min="9171" max="9171" width="1.6640625" style="253" customWidth="1"/>
    <col min="9172" max="9172" width="16.33203125" style="253" customWidth="1"/>
    <col min="9173" max="9173" width="1.6640625" style="253" customWidth="1"/>
    <col min="9174" max="9174" width="16.6640625" style="253" customWidth="1"/>
    <col min="9175" max="9175" width="1.6640625" style="253" customWidth="1"/>
    <col min="9176" max="9176" width="19.5546875" style="253" customWidth="1"/>
    <col min="9177" max="9177" width="16.6640625" style="253" customWidth="1"/>
    <col min="9178" max="9412" width="8.6640625" style="253"/>
    <col min="9413" max="9413" width="12.6640625" style="253" customWidth="1"/>
    <col min="9414" max="9414" width="75.6640625" style="253" customWidth="1"/>
    <col min="9415" max="9418" width="18.6640625" style="253" customWidth="1"/>
    <col min="9419" max="9419" width="1.6640625" style="253" customWidth="1"/>
    <col min="9420" max="9420" width="18.6640625" style="253" customWidth="1"/>
    <col min="9421" max="9421" width="1.6640625" style="253" customWidth="1"/>
    <col min="9422" max="9422" width="16.6640625" style="253" customWidth="1"/>
    <col min="9423" max="9423" width="1.6640625" style="253" customWidth="1"/>
    <col min="9424" max="9424" width="16.6640625" style="253" customWidth="1"/>
    <col min="9425" max="9425" width="1.6640625" style="253" customWidth="1"/>
    <col min="9426" max="9426" width="16.6640625" style="253" customWidth="1"/>
    <col min="9427" max="9427" width="1.6640625" style="253" customWidth="1"/>
    <col min="9428" max="9428" width="16.33203125" style="253" customWidth="1"/>
    <col min="9429" max="9429" width="1.6640625" style="253" customWidth="1"/>
    <col min="9430" max="9430" width="16.6640625" style="253" customWidth="1"/>
    <col min="9431" max="9431" width="1.6640625" style="253" customWidth="1"/>
    <col min="9432" max="9432" width="19.5546875" style="253" customWidth="1"/>
    <col min="9433" max="9433" width="16.6640625" style="253" customWidth="1"/>
    <col min="9434" max="9668" width="8.6640625" style="253"/>
    <col min="9669" max="9669" width="12.6640625" style="253" customWidth="1"/>
    <col min="9670" max="9670" width="75.6640625" style="253" customWidth="1"/>
    <col min="9671" max="9674" width="18.6640625" style="253" customWidth="1"/>
    <col min="9675" max="9675" width="1.6640625" style="253" customWidth="1"/>
    <col min="9676" max="9676" width="18.6640625" style="253" customWidth="1"/>
    <col min="9677" max="9677" width="1.6640625" style="253" customWidth="1"/>
    <col min="9678" max="9678" width="16.6640625" style="253" customWidth="1"/>
    <col min="9679" max="9679" width="1.6640625" style="253" customWidth="1"/>
    <col min="9680" max="9680" width="16.6640625" style="253" customWidth="1"/>
    <col min="9681" max="9681" width="1.6640625" style="253" customWidth="1"/>
    <col min="9682" max="9682" width="16.6640625" style="253" customWidth="1"/>
    <col min="9683" max="9683" width="1.6640625" style="253" customWidth="1"/>
    <col min="9684" max="9684" width="16.33203125" style="253" customWidth="1"/>
    <col min="9685" max="9685" width="1.6640625" style="253" customWidth="1"/>
    <col min="9686" max="9686" width="16.6640625" style="253" customWidth="1"/>
    <col min="9687" max="9687" width="1.6640625" style="253" customWidth="1"/>
    <col min="9688" max="9688" width="19.5546875" style="253" customWidth="1"/>
    <col min="9689" max="9689" width="16.6640625" style="253" customWidth="1"/>
    <col min="9690" max="9924" width="8.6640625" style="253"/>
    <col min="9925" max="9925" width="12.6640625" style="253" customWidth="1"/>
    <col min="9926" max="9926" width="75.6640625" style="253" customWidth="1"/>
    <col min="9927" max="9930" width="18.6640625" style="253" customWidth="1"/>
    <col min="9931" max="9931" width="1.6640625" style="253" customWidth="1"/>
    <col min="9932" max="9932" width="18.6640625" style="253" customWidth="1"/>
    <col min="9933" max="9933" width="1.6640625" style="253" customWidth="1"/>
    <col min="9934" max="9934" width="16.6640625" style="253" customWidth="1"/>
    <col min="9935" max="9935" width="1.6640625" style="253" customWidth="1"/>
    <col min="9936" max="9936" width="16.6640625" style="253" customWidth="1"/>
    <col min="9937" max="9937" width="1.6640625" style="253" customWidth="1"/>
    <col min="9938" max="9938" width="16.6640625" style="253" customWidth="1"/>
    <col min="9939" max="9939" width="1.6640625" style="253" customWidth="1"/>
    <col min="9940" max="9940" width="16.33203125" style="253" customWidth="1"/>
    <col min="9941" max="9941" width="1.6640625" style="253" customWidth="1"/>
    <col min="9942" max="9942" width="16.6640625" style="253" customWidth="1"/>
    <col min="9943" max="9943" width="1.6640625" style="253" customWidth="1"/>
    <col min="9944" max="9944" width="19.5546875" style="253" customWidth="1"/>
    <col min="9945" max="9945" width="16.6640625" style="253" customWidth="1"/>
    <col min="9946" max="10180" width="8.6640625" style="253"/>
    <col min="10181" max="10181" width="12.6640625" style="253" customWidth="1"/>
    <col min="10182" max="10182" width="75.6640625" style="253" customWidth="1"/>
    <col min="10183" max="10186" width="18.6640625" style="253" customWidth="1"/>
    <col min="10187" max="10187" width="1.6640625" style="253" customWidth="1"/>
    <col min="10188" max="10188" width="18.6640625" style="253" customWidth="1"/>
    <col min="10189" max="10189" width="1.6640625" style="253" customWidth="1"/>
    <col min="10190" max="10190" width="16.6640625" style="253" customWidth="1"/>
    <col min="10191" max="10191" width="1.6640625" style="253" customWidth="1"/>
    <col min="10192" max="10192" width="16.6640625" style="253" customWidth="1"/>
    <col min="10193" max="10193" width="1.6640625" style="253" customWidth="1"/>
    <col min="10194" max="10194" width="16.6640625" style="253" customWidth="1"/>
    <col min="10195" max="10195" width="1.6640625" style="253" customWidth="1"/>
    <col min="10196" max="10196" width="16.33203125" style="253" customWidth="1"/>
    <col min="10197" max="10197" width="1.6640625" style="253" customWidth="1"/>
    <col min="10198" max="10198" width="16.6640625" style="253" customWidth="1"/>
    <col min="10199" max="10199" width="1.6640625" style="253" customWidth="1"/>
    <col min="10200" max="10200" width="19.5546875" style="253" customWidth="1"/>
    <col min="10201" max="10201" width="16.6640625" style="253" customWidth="1"/>
    <col min="10202" max="10436" width="8.6640625" style="253"/>
    <col min="10437" max="10437" width="12.6640625" style="253" customWidth="1"/>
    <col min="10438" max="10438" width="75.6640625" style="253" customWidth="1"/>
    <col min="10439" max="10442" width="18.6640625" style="253" customWidth="1"/>
    <col min="10443" max="10443" width="1.6640625" style="253" customWidth="1"/>
    <col min="10444" max="10444" width="18.6640625" style="253" customWidth="1"/>
    <col min="10445" max="10445" width="1.6640625" style="253" customWidth="1"/>
    <col min="10446" max="10446" width="16.6640625" style="253" customWidth="1"/>
    <col min="10447" max="10447" width="1.6640625" style="253" customWidth="1"/>
    <col min="10448" max="10448" width="16.6640625" style="253" customWidth="1"/>
    <col min="10449" max="10449" width="1.6640625" style="253" customWidth="1"/>
    <col min="10450" max="10450" width="16.6640625" style="253" customWidth="1"/>
    <col min="10451" max="10451" width="1.6640625" style="253" customWidth="1"/>
    <col min="10452" max="10452" width="16.33203125" style="253" customWidth="1"/>
    <col min="10453" max="10453" width="1.6640625" style="253" customWidth="1"/>
    <col min="10454" max="10454" width="16.6640625" style="253" customWidth="1"/>
    <col min="10455" max="10455" width="1.6640625" style="253" customWidth="1"/>
    <col min="10456" max="10456" width="19.5546875" style="253" customWidth="1"/>
    <col min="10457" max="10457" width="16.6640625" style="253" customWidth="1"/>
    <col min="10458" max="10692" width="8.6640625" style="253"/>
    <col min="10693" max="10693" width="12.6640625" style="253" customWidth="1"/>
    <col min="10694" max="10694" width="75.6640625" style="253" customWidth="1"/>
    <col min="10695" max="10698" width="18.6640625" style="253" customWidth="1"/>
    <col min="10699" max="10699" width="1.6640625" style="253" customWidth="1"/>
    <col min="10700" max="10700" width="18.6640625" style="253" customWidth="1"/>
    <col min="10701" max="10701" width="1.6640625" style="253" customWidth="1"/>
    <col min="10702" max="10702" width="16.6640625" style="253" customWidth="1"/>
    <col min="10703" max="10703" width="1.6640625" style="253" customWidth="1"/>
    <col min="10704" max="10704" width="16.6640625" style="253" customWidth="1"/>
    <col min="10705" max="10705" width="1.6640625" style="253" customWidth="1"/>
    <col min="10706" max="10706" width="16.6640625" style="253" customWidth="1"/>
    <col min="10707" max="10707" width="1.6640625" style="253" customWidth="1"/>
    <col min="10708" max="10708" width="16.33203125" style="253" customWidth="1"/>
    <col min="10709" max="10709" width="1.6640625" style="253" customWidth="1"/>
    <col min="10710" max="10710" width="16.6640625" style="253" customWidth="1"/>
    <col min="10711" max="10711" width="1.6640625" style="253" customWidth="1"/>
    <col min="10712" max="10712" width="19.5546875" style="253" customWidth="1"/>
    <col min="10713" max="10713" width="16.6640625" style="253" customWidth="1"/>
    <col min="10714" max="10948" width="8.6640625" style="253"/>
    <col min="10949" max="10949" width="12.6640625" style="253" customWidth="1"/>
    <col min="10950" max="10950" width="75.6640625" style="253" customWidth="1"/>
    <col min="10951" max="10954" width="18.6640625" style="253" customWidth="1"/>
    <col min="10955" max="10955" width="1.6640625" style="253" customWidth="1"/>
    <col min="10956" max="10956" width="18.6640625" style="253" customWidth="1"/>
    <col min="10957" max="10957" width="1.6640625" style="253" customWidth="1"/>
    <col min="10958" max="10958" width="16.6640625" style="253" customWidth="1"/>
    <col min="10959" max="10959" width="1.6640625" style="253" customWidth="1"/>
    <col min="10960" max="10960" width="16.6640625" style="253" customWidth="1"/>
    <col min="10961" max="10961" width="1.6640625" style="253" customWidth="1"/>
    <col min="10962" max="10962" width="16.6640625" style="253" customWidth="1"/>
    <col min="10963" max="10963" width="1.6640625" style="253" customWidth="1"/>
    <col min="10964" max="10964" width="16.33203125" style="253" customWidth="1"/>
    <col min="10965" max="10965" width="1.6640625" style="253" customWidth="1"/>
    <col min="10966" max="10966" width="16.6640625" style="253" customWidth="1"/>
    <col min="10967" max="10967" width="1.6640625" style="253" customWidth="1"/>
    <col min="10968" max="10968" width="19.5546875" style="253" customWidth="1"/>
    <col min="10969" max="10969" width="16.6640625" style="253" customWidth="1"/>
    <col min="10970" max="11204" width="8.6640625" style="253"/>
    <col min="11205" max="11205" width="12.6640625" style="253" customWidth="1"/>
    <col min="11206" max="11206" width="75.6640625" style="253" customWidth="1"/>
    <col min="11207" max="11210" width="18.6640625" style="253" customWidth="1"/>
    <col min="11211" max="11211" width="1.6640625" style="253" customWidth="1"/>
    <col min="11212" max="11212" width="18.6640625" style="253" customWidth="1"/>
    <col min="11213" max="11213" width="1.6640625" style="253" customWidth="1"/>
    <col min="11214" max="11214" width="16.6640625" style="253" customWidth="1"/>
    <col min="11215" max="11215" width="1.6640625" style="253" customWidth="1"/>
    <col min="11216" max="11216" width="16.6640625" style="253" customWidth="1"/>
    <col min="11217" max="11217" width="1.6640625" style="253" customWidth="1"/>
    <col min="11218" max="11218" width="16.6640625" style="253" customWidth="1"/>
    <col min="11219" max="11219" width="1.6640625" style="253" customWidth="1"/>
    <col min="11220" max="11220" width="16.33203125" style="253" customWidth="1"/>
    <col min="11221" max="11221" width="1.6640625" style="253" customWidth="1"/>
    <col min="11222" max="11222" width="16.6640625" style="253" customWidth="1"/>
    <col min="11223" max="11223" width="1.6640625" style="253" customWidth="1"/>
    <col min="11224" max="11224" width="19.5546875" style="253" customWidth="1"/>
    <col min="11225" max="11225" width="16.6640625" style="253" customWidth="1"/>
    <col min="11226" max="11460" width="8.6640625" style="253"/>
    <col min="11461" max="11461" width="12.6640625" style="253" customWidth="1"/>
    <col min="11462" max="11462" width="75.6640625" style="253" customWidth="1"/>
    <col min="11463" max="11466" width="18.6640625" style="253" customWidth="1"/>
    <col min="11467" max="11467" width="1.6640625" style="253" customWidth="1"/>
    <col min="11468" max="11468" width="18.6640625" style="253" customWidth="1"/>
    <col min="11469" max="11469" width="1.6640625" style="253" customWidth="1"/>
    <col min="11470" max="11470" width="16.6640625" style="253" customWidth="1"/>
    <col min="11471" max="11471" width="1.6640625" style="253" customWidth="1"/>
    <col min="11472" max="11472" width="16.6640625" style="253" customWidth="1"/>
    <col min="11473" max="11473" width="1.6640625" style="253" customWidth="1"/>
    <col min="11474" max="11474" width="16.6640625" style="253" customWidth="1"/>
    <col min="11475" max="11475" width="1.6640625" style="253" customWidth="1"/>
    <col min="11476" max="11476" width="16.33203125" style="253" customWidth="1"/>
    <col min="11477" max="11477" width="1.6640625" style="253" customWidth="1"/>
    <col min="11478" max="11478" width="16.6640625" style="253" customWidth="1"/>
    <col min="11479" max="11479" width="1.6640625" style="253" customWidth="1"/>
    <col min="11480" max="11480" width="19.5546875" style="253" customWidth="1"/>
    <col min="11481" max="11481" width="16.6640625" style="253" customWidth="1"/>
    <col min="11482" max="11716" width="8.6640625" style="253"/>
    <col min="11717" max="11717" width="12.6640625" style="253" customWidth="1"/>
    <col min="11718" max="11718" width="75.6640625" style="253" customWidth="1"/>
    <col min="11719" max="11722" width="18.6640625" style="253" customWidth="1"/>
    <col min="11723" max="11723" width="1.6640625" style="253" customWidth="1"/>
    <col min="11724" max="11724" width="18.6640625" style="253" customWidth="1"/>
    <col min="11725" max="11725" width="1.6640625" style="253" customWidth="1"/>
    <col min="11726" max="11726" width="16.6640625" style="253" customWidth="1"/>
    <col min="11727" max="11727" width="1.6640625" style="253" customWidth="1"/>
    <col min="11728" max="11728" width="16.6640625" style="253" customWidth="1"/>
    <col min="11729" max="11729" width="1.6640625" style="253" customWidth="1"/>
    <col min="11730" max="11730" width="16.6640625" style="253" customWidth="1"/>
    <col min="11731" max="11731" width="1.6640625" style="253" customWidth="1"/>
    <col min="11732" max="11732" width="16.33203125" style="253" customWidth="1"/>
    <col min="11733" max="11733" width="1.6640625" style="253" customWidth="1"/>
    <col min="11734" max="11734" width="16.6640625" style="253" customWidth="1"/>
    <col min="11735" max="11735" width="1.6640625" style="253" customWidth="1"/>
    <col min="11736" max="11736" width="19.5546875" style="253" customWidth="1"/>
    <col min="11737" max="11737" width="16.6640625" style="253" customWidth="1"/>
    <col min="11738" max="11972" width="8.6640625" style="253"/>
    <col min="11973" max="11973" width="12.6640625" style="253" customWidth="1"/>
    <col min="11974" max="11974" width="75.6640625" style="253" customWidth="1"/>
    <col min="11975" max="11978" width="18.6640625" style="253" customWidth="1"/>
    <col min="11979" max="11979" width="1.6640625" style="253" customWidth="1"/>
    <col min="11980" max="11980" width="18.6640625" style="253" customWidth="1"/>
    <col min="11981" max="11981" width="1.6640625" style="253" customWidth="1"/>
    <col min="11982" max="11982" width="16.6640625" style="253" customWidth="1"/>
    <col min="11983" max="11983" width="1.6640625" style="253" customWidth="1"/>
    <col min="11984" max="11984" width="16.6640625" style="253" customWidth="1"/>
    <col min="11985" max="11985" width="1.6640625" style="253" customWidth="1"/>
    <col min="11986" max="11986" width="16.6640625" style="253" customWidth="1"/>
    <col min="11987" max="11987" width="1.6640625" style="253" customWidth="1"/>
    <col min="11988" max="11988" width="16.33203125" style="253" customWidth="1"/>
    <col min="11989" max="11989" width="1.6640625" style="253" customWidth="1"/>
    <col min="11990" max="11990" width="16.6640625" style="253" customWidth="1"/>
    <col min="11991" max="11991" width="1.6640625" style="253" customWidth="1"/>
    <col min="11992" max="11992" width="19.5546875" style="253" customWidth="1"/>
    <col min="11993" max="11993" width="16.6640625" style="253" customWidth="1"/>
    <col min="11994" max="12228" width="8.6640625" style="253"/>
    <col min="12229" max="12229" width="12.6640625" style="253" customWidth="1"/>
    <col min="12230" max="12230" width="75.6640625" style="253" customWidth="1"/>
    <col min="12231" max="12234" width="18.6640625" style="253" customWidth="1"/>
    <col min="12235" max="12235" width="1.6640625" style="253" customWidth="1"/>
    <col min="12236" max="12236" width="18.6640625" style="253" customWidth="1"/>
    <col min="12237" max="12237" width="1.6640625" style="253" customWidth="1"/>
    <col min="12238" max="12238" width="16.6640625" style="253" customWidth="1"/>
    <col min="12239" max="12239" width="1.6640625" style="253" customWidth="1"/>
    <col min="12240" max="12240" width="16.6640625" style="253" customWidth="1"/>
    <col min="12241" max="12241" width="1.6640625" style="253" customWidth="1"/>
    <col min="12242" max="12242" width="16.6640625" style="253" customWidth="1"/>
    <col min="12243" max="12243" width="1.6640625" style="253" customWidth="1"/>
    <col min="12244" max="12244" width="16.33203125" style="253" customWidth="1"/>
    <col min="12245" max="12245" width="1.6640625" style="253" customWidth="1"/>
    <col min="12246" max="12246" width="16.6640625" style="253" customWidth="1"/>
    <col min="12247" max="12247" width="1.6640625" style="253" customWidth="1"/>
    <col min="12248" max="12248" width="19.5546875" style="253" customWidth="1"/>
    <col min="12249" max="12249" width="16.6640625" style="253" customWidth="1"/>
    <col min="12250" max="12484" width="8.6640625" style="253"/>
    <col min="12485" max="12485" width="12.6640625" style="253" customWidth="1"/>
    <col min="12486" max="12486" width="75.6640625" style="253" customWidth="1"/>
    <col min="12487" max="12490" width="18.6640625" style="253" customWidth="1"/>
    <col min="12491" max="12491" width="1.6640625" style="253" customWidth="1"/>
    <col min="12492" max="12492" width="18.6640625" style="253" customWidth="1"/>
    <col min="12493" max="12493" width="1.6640625" style="253" customWidth="1"/>
    <col min="12494" max="12494" width="16.6640625" style="253" customWidth="1"/>
    <col min="12495" max="12495" width="1.6640625" style="253" customWidth="1"/>
    <col min="12496" max="12496" width="16.6640625" style="253" customWidth="1"/>
    <col min="12497" max="12497" width="1.6640625" style="253" customWidth="1"/>
    <col min="12498" max="12498" width="16.6640625" style="253" customWidth="1"/>
    <col min="12499" max="12499" width="1.6640625" style="253" customWidth="1"/>
    <col min="12500" max="12500" width="16.33203125" style="253" customWidth="1"/>
    <col min="12501" max="12501" width="1.6640625" style="253" customWidth="1"/>
    <col min="12502" max="12502" width="16.6640625" style="253" customWidth="1"/>
    <col min="12503" max="12503" width="1.6640625" style="253" customWidth="1"/>
    <col min="12504" max="12504" width="19.5546875" style="253" customWidth="1"/>
    <col min="12505" max="12505" width="16.6640625" style="253" customWidth="1"/>
    <col min="12506" max="12740" width="8.6640625" style="253"/>
    <col min="12741" max="12741" width="12.6640625" style="253" customWidth="1"/>
    <col min="12742" max="12742" width="75.6640625" style="253" customWidth="1"/>
    <col min="12743" max="12746" width="18.6640625" style="253" customWidth="1"/>
    <col min="12747" max="12747" width="1.6640625" style="253" customWidth="1"/>
    <col min="12748" max="12748" width="18.6640625" style="253" customWidth="1"/>
    <col min="12749" max="12749" width="1.6640625" style="253" customWidth="1"/>
    <col min="12750" max="12750" width="16.6640625" style="253" customWidth="1"/>
    <col min="12751" max="12751" width="1.6640625" style="253" customWidth="1"/>
    <col min="12752" max="12752" width="16.6640625" style="253" customWidth="1"/>
    <col min="12753" max="12753" width="1.6640625" style="253" customWidth="1"/>
    <col min="12754" max="12754" width="16.6640625" style="253" customWidth="1"/>
    <col min="12755" max="12755" width="1.6640625" style="253" customWidth="1"/>
    <col min="12756" max="12756" width="16.33203125" style="253" customWidth="1"/>
    <col min="12757" max="12757" width="1.6640625" style="253" customWidth="1"/>
    <col min="12758" max="12758" width="16.6640625" style="253" customWidth="1"/>
    <col min="12759" max="12759" width="1.6640625" style="253" customWidth="1"/>
    <col min="12760" max="12760" width="19.5546875" style="253" customWidth="1"/>
    <col min="12761" max="12761" width="16.6640625" style="253" customWidth="1"/>
    <col min="12762" max="12996" width="8.6640625" style="253"/>
    <col min="12997" max="12997" width="12.6640625" style="253" customWidth="1"/>
    <col min="12998" max="12998" width="75.6640625" style="253" customWidth="1"/>
    <col min="12999" max="13002" width="18.6640625" style="253" customWidth="1"/>
    <col min="13003" max="13003" width="1.6640625" style="253" customWidth="1"/>
    <col min="13004" max="13004" width="18.6640625" style="253" customWidth="1"/>
    <col min="13005" max="13005" width="1.6640625" style="253" customWidth="1"/>
    <col min="13006" max="13006" width="16.6640625" style="253" customWidth="1"/>
    <col min="13007" max="13007" width="1.6640625" style="253" customWidth="1"/>
    <col min="13008" max="13008" width="16.6640625" style="253" customWidth="1"/>
    <col min="13009" max="13009" width="1.6640625" style="253" customWidth="1"/>
    <col min="13010" max="13010" width="16.6640625" style="253" customWidth="1"/>
    <col min="13011" max="13011" width="1.6640625" style="253" customWidth="1"/>
    <col min="13012" max="13012" width="16.33203125" style="253" customWidth="1"/>
    <col min="13013" max="13013" width="1.6640625" style="253" customWidth="1"/>
    <col min="13014" max="13014" width="16.6640625" style="253" customWidth="1"/>
    <col min="13015" max="13015" width="1.6640625" style="253" customWidth="1"/>
    <col min="13016" max="13016" width="19.5546875" style="253" customWidth="1"/>
    <col min="13017" max="13017" width="16.6640625" style="253" customWidth="1"/>
    <col min="13018" max="13252" width="8.6640625" style="253"/>
    <col min="13253" max="13253" width="12.6640625" style="253" customWidth="1"/>
    <col min="13254" max="13254" width="75.6640625" style="253" customWidth="1"/>
    <col min="13255" max="13258" width="18.6640625" style="253" customWidth="1"/>
    <col min="13259" max="13259" width="1.6640625" style="253" customWidth="1"/>
    <col min="13260" max="13260" width="18.6640625" style="253" customWidth="1"/>
    <col min="13261" max="13261" width="1.6640625" style="253" customWidth="1"/>
    <col min="13262" max="13262" width="16.6640625" style="253" customWidth="1"/>
    <col min="13263" max="13263" width="1.6640625" style="253" customWidth="1"/>
    <col min="13264" max="13264" width="16.6640625" style="253" customWidth="1"/>
    <col min="13265" max="13265" width="1.6640625" style="253" customWidth="1"/>
    <col min="13266" max="13266" width="16.6640625" style="253" customWidth="1"/>
    <col min="13267" max="13267" width="1.6640625" style="253" customWidth="1"/>
    <col min="13268" max="13268" width="16.33203125" style="253" customWidth="1"/>
    <col min="13269" max="13269" width="1.6640625" style="253" customWidth="1"/>
    <col min="13270" max="13270" width="16.6640625" style="253" customWidth="1"/>
    <col min="13271" max="13271" width="1.6640625" style="253" customWidth="1"/>
    <col min="13272" max="13272" width="19.5546875" style="253" customWidth="1"/>
    <col min="13273" max="13273" width="16.6640625" style="253" customWidth="1"/>
    <col min="13274" max="13508" width="8.6640625" style="253"/>
    <col min="13509" max="13509" width="12.6640625" style="253" customWidth="1"/>
    <col min="13510" max="13510" width="75.6640625" style="253" customWidth="1"/>
    <col min="13511" max="13514" width="18.6640625" style="253" customWidth="1"/>
    <col min="13515" max="13515" width="1.6640625" style="253" customWidth="1"/>
    <col min="13516" max="13516" width="18.6640625" style="253" customWidth="1"/>
    <col min="13517" max="13517" width="1.6640625" style="253" customWidth="1"/>
    <col min="13518" max="13518" width="16.6640625" style="253" customWidth="1"/>
    <col min="13519" max="13519" width="1.6640625" style="253" customWidth="1"/>
    <col min="13520" max="13520" width="16.6640625" style="253" customWidth="1"/>
    <col min="13521" max="13521" width="1.6640625" style="253" customWidth="1"/>
    <col min="13522" max="13522" width="16.6640625" style="253" customWidth="1"/>
    <col min="13523" max="13523" width="1.6640625" style="253" customWidth="1"/>
    <col min="13524" max="13524" width="16.33203125" style="253" customWidth="1"/>
    <col min="13525" max="13525" width="1.6640625" style="253" customWidth="1"/>
    <col min="13526" max="13526" width="16.6640625" style="253" customWidth="1"/>
    <col min="13527" max="13527" width="1.6640625" style="253" customWidth="1"/>
    <col min="13528" max="13528" width="19.5546875" style="253" customWidth="1"/>
    <col min="13529" max="13529" width="16.6640625" style="253" customWidth="1"/>
    <col min="13530" max="13764" width="8.6640625" style="253"/>
    <col min="13765" max="13765" width="12.6640625" style="253" customWidth="1"/>
    <col min="13766" max="13766" width="75.6640625" style="253" customWidth="1"/>
    <col min="13767" max="13770" width="18.6640625" style="253" customWidth="1"/>
    <col min="13771" max="13771" width="1.6640625" style="253" customWidth="1"/>
    <col min="13772" max="13772" width="18.6640625" style="253" customWidth="1"/>
    <col min="13773" max="13773" width="1.6640625" style="253" customWidth="1"/>
    <col min="13774" max="13774" width="16.6640625" style="253" customWidth="1"/>
    <col min="13775" max="13775" width="1.6640625" style="253" customWidth="1"/>
    <col min="13776" max="13776" width="16.6640625" style="253" customWidth="1"/>
    <col min="13777" max="13777" width="1.6640625" style="253" customWidth="1"/>
    <col min="13778" max="13778" width="16.6640625" style="253" customWidth="1"/>
    <col min="13779" max="13779" width="1.6640625" style="253" customWidth="1"/>
    <col min="13780" max="13780" width="16.33203125" style="253" customWidth="1"/>
    <col min="13781" max="13781" width="1.6640625" style="253" customWidth="1"/>
    <col min="13782" max="13782" width="16.6640625" style="253" customWidth="1"/>
    <col min="13783" max="13783" width="1.6640625" style="253" customWidth="1"/>
    <col min="13784" max="13784" width="19.5546875" style="253" customWidth="1"/>
    <col min="13785" max="13785" width="16.6640625" style="253" customWidth="1"/>
    <col min="13786" max="14020" width="8.6640625" style="253"/>
    <col min="14021" max="14021" width="12.6640625" style="253" customWidth="1"/>
    <col min="14022" max="14022" width="75.6640625" style="253" customWidth="1"/>
    <col min="14023" max="14026" width="18.6640625" style="253" customWidth="1"/>
    <col min="14027" max="14027" width="1.6640625" style="253" customWidth="1"/>
    <col min="14028" max="14028" width="18.6640625" style="253" customWidth="1"/>
    <col min="14029" max="14029" width="1.6640625" style="253" customWidth="1"/>
    <col min="14030" max="14030" width="16.6640625" style="253" customWidth="1"/>
    <col min="14031" max="14031" width="1.6640625" style="253" customWidth="1"/>
    <col min="14032" max="14032" width="16.6640625" style="253" customWidth="1"/>
    <col min="14033" max="14033" width="1.6640625" style="253" customWidth="1"/>
    <col min="14034" max="14034" width="16.6640625" style="253" customWidth="1"/>
    <col min="14035" max="14035" width="1.6640625" style="253" customWidth="1"/>
    <col min="14036" max="14036" width="16.33203125" style="253" customWidth="1"/>
    <col min="14037" max="14037" width="1.6640625" style="253" customWidth="1"/>
    <col min="14038" max="14038" width="16.6640625" style="253" customWidth="1"/>
    <col min="14039" max="14039" width="1.6640625" style="253" customWidth="1"/>
    <col min="14040" max="14040" width="19.5546875" style="253" customWidth="1"/>
    <col min="14041" max="14041" width="16.6640625" style="253" customWidth="1"/>
    <col min="14042" max="14276" width="8.6640625" style="253"/>
    <col min="14277" max="14277" width="12.6640625" style="253" customWidth="1"/>
    <col min="14278" max="14278" width="75.6640625" style="253" customWidth="1"/>
    <col min="14279" max="14282" width="18.6640625" style="253" customWidth="1"/>
    <col min="14283" max="14283" width="1.6640625" style="253" customWidth="1"/>
    <col min="14284" max="14284" width="18.6640625" style="253" customWidth="1"/>
    <col min="14285" max="14285" width="1.6640625" style="253" customWidth="1"/>
    <col min="14286" max="14286" width="16.6640625" style="253" customWidth="1"/>
    <col min="14287" max="14287" width="1.6640625" style="253" customWidth="1"/>
    <col min="14288" max="14288" width="16.6640625" style="253" customWidth="1"/>
    <col min="14289" max="14289" width="1.6640625" style="253" customWidth="1"/>
    <col min="14290" max="14290" width="16.6640625" style="253" customWidth="1"/>
    <col min="14291" max="14291" width="1.6640625" style="253" customWidth="1"/>
    <col min="14292" max="14292" width="16.33203125" style="253" customWidth="1"/>
    <col min="14293" max="14293" width="1.6640625" style="253" customWidth="1"/>
    <col min="14294" max="14294" width="16.6640625" style="253" customWidth="1"/>
    <col min="14295" max="14295" width="1.6640625" style="253" customWidth="1"/>
    <col min="14296" max="14296" width="19.5546875" style="253" customWidth="1"/>
    <col min="14297" max="14297" width="16.6640625" style="253" customWidth="1"/>
    <col min="14298" max="14532" width="8.6640625" style="253"/>
    <col min="14533" max="14533" width="12.6640625" style="253" customWidth="1"/>
    <col min="14534" max="14534" width="75.6640625" style="253" customWidth="1"/>
    <col min="14535" max="14538" width="18.6640625" style="253" customWidth="1"/>
    <col min="14539" max="14539" width="1.6640625" style="253" customWidth="1"/>
    <col min="14540" max="14540" width="18.6640625" style="253" customWidth="1"/>
    <col min="14541" max="14541" width="1.6640625" style="253" customWidth="1"/>
    <col min="14542" max="14542" width="16.6640625" style="253" customWidth="1"/>
    <col min="14543" max="14543" width="1.6640625" style="253" customWidth="1"/>
    <col min="14544" max="14544" width="16.6640625" style="253" customWidth="1"/>
    <col min="14545" max="14545" width="1.6640625" style="253" customWidth="1"/>
    <col min="14546" max="14546" width="16.6640625" style="253" customWidth="1"/>
    <col min="14547" max="14547" width="1.6640625" style="253" customWidth="1"/>
    <col min="14548" max="14548" width="16.33203125" style="253" customWidth="1"/>
    <col min="14549" max="14549" width="1.6640625" style="253" customWidth="1"/>
    <col min="14550" max="14550" width="16.6640625" style="253" customWidth="1"/>
    <col min="14551" max="14551" width="1.6640625" style="253" customWidth="1"/>
    <col min="14552" max="14552" width="19.5546875" style="253" customWidth="1"/>
    <col min="14553" max="14553" width="16.6640625" style="253" customWidth="1"/>
    <col min="14554" max="14788" width="8.6640625" style="253"/>
    <col min="14789" max="14789" width="12.6640625" style="253" customWidth="1"/>
    <col min="14790" max="14790" width="75.6640625" style="253" customWidth="1"/>
    <col min="14791" max="14794" width="18.6640625" style="253" customWidth="1"/>
    <col min="14795" max="14795" width="1.6640625" style="253" customWidth="1"/>
    <col min="14796" max="14796" width="18.6640625" style="253" customWidth="1"/>
    <col min="14797" max="14797" width="1.6640625" style="253" customWidth="1"/>
    <col min="14798" max="14798" width="16.6640625" style="253" customWidth="1"/>
    <col min="14799" max="14799" width="1.6640625" style="253" customWidth="1"/>
    <col min="14800" max="14800" width="16.6640625" style="253" customWidth="1"/>
    <col min="14801" max="14801" width="1.6640625" style="253" customWidth="1"/>
    <col min="14802" max="14802" width="16.6640625" style="253" customWidth="1"/>
    <col min="14803" max="14803" width="1.6640625" style="253" customWidth="1"/>
    <col min="14804" max="14804" width="16.33203125" style="253" customWidth="1"/>
    <col min="14805" max="14805" width="1.6640625" style="253" customWidth="1"/>
    <col min="14806" max="14806" width="16.6640625" style="253" customWidth="1"/>
    <col min="14807" max="14807" width="1.6640625" style="253" customWidth="1"/>
    <col min="14808" max="14808" width="19.5546875" style="253" customWidth="1"/>
    <col min="14809" max="14809" width="16.6640625" style="253" customWidth="1"/>
    <col min="14810" max="15044" width="8.6640625" style="253"/>
    <col min="15045" max="15045" width="12.6640625" style="253" customWidth="1"/>
    <col min="15046" max="15046" width="75.6640625" style="253" customWidth="1"/>
    <col min="15047" max="15050" width="18.6640625" style="253" customWidth="1"/>
    <col min="15051" max="15051" width="1.6640625" style="253" customWidth="1"/>
    <col min="15052" max="15052" width="18.6640625" style="253" customWidth="1"/>
    <col min="15053" max="15053" width="1.6640625" style="253" customWidth="1"/>
    <col min="15054" max="15054" width="16.6640625" style="253" customWidth="1"/>
    <col min="15055" max="15055" width="1.6640625" style="253" customWidth="1"/>
    <col min="15056" max="15056" width="16.6640625" style="253" customWidth="1"/>
    <col min="15057" max="15057" width="1.6640625" style="253" customWidth="1"/>
    <col min="15058" max="15058" width="16.6640625" style="253" customWidth="1"/>
    <col min="15059" max="15059" width="1.6640625" style="253" customWidth="1"/>
    <col min="15060" max="15060" width="16.33203125" style="253" customWidth="1"/>
    <col min="15061" max="15061" width="1.6640625" style="253" customWidth="1"/>
    <col min="15062" max="15062" width="16.6640625" style="253" customWidth="1"/>
    <col min="15063" max="15063" width="1.6640625" style="253" customWidth="1"/>
    <col min="15064" max="15064" width="19.5546875" style="253" customWidth="1"/>
    <col min="15065" max="15065" width="16.6640625" style="253" customWidth="1"/>
    <col min="15066" max="15300" width="8.6640625" style="253"/>
    <col min="15301" max="15301" width="12.6640625" style="253" customWidth="1"/>
    <col min="15302" max="15302" width="75.6640625" style="253" customWidth="1"/>
    <col min="15303" max="15306" width="18.6640625" style="253" customWidth="1"/>
    <col min="15307" max="15307" width="1.6640625" style="253" customWidth="1"/>
    <col min="15308" max="15308" width="18.6640625" style="253" customWidth="1"/>
    <col min="15309" max="15309" width="1.6640625" style="253" customWidth="1"/>
    <col min="15310" max="15310" width="16.6640625" style="253" customWidth="1"/>
    <col min="15311" max="15311" width="1.6640625" style="253" customWidth="1"/>
    <col min="15312" max="15312" width="16.6640625" style="253" customWidth="1"/>
    <col min="15313" max="15313" width="1.6640625" style="253" customWidth="1"/>
    <col min="15314" max="15314" width="16.6640625" style="253" customWidth="1"/>
    <col min="15315" max="15315" width="1.6640625" style="253" customWidth="1"/>
    <col min="15316" max="15316" width="16.33203125" style="253" customWidth="1"/>
    <col min="15317" max="15317" width="1.6640625" style="253" customWidth="1"/>
    <col min="15318" max="15318" width="16.6640625" style="253" customWidth="1"/>
    <col min="15319" max="15319" width="1.6640625" style="253" customWidth="1"/>
    <col min="15320" max="15320" width="19.5546875" style="253" customWidth="1"/>
    <col min="15321" max="15321" width="16.6640625" style="253" customWidth="1"/>
    <col min="15322" max="15556" width="8.6640625" style="253"/>
    <col min="15557" max="15557" width="12.6640625" style="253" customWidth="1"/>
    <col min="15558" max="15558" width="75.6640625" style="253" customWidth="1"/>
    <col min="15559" max="15562" width="18.6640625" style="253" customWidth="1"/>
    <col min="15563" max="15563" width="1.6640625" style="253" customWidth="1"/>
    <col min="15564" max="15564" width="18.6640625" style="253" customWidth="1"/>
    <col min="15565" max="15565" width="1.6640625" style="253" customWidth="1"/>
    <col min="15566" max="15566" width="16.6640625" style="253" customWidth="1"/>
    <col min="15567" max="15567" width="1.6640625" style="253" customWidth="1"/>
    <col min="15568" max="15568" width="16.6640625" style="253" customWidth="1"/>
    <col min="15569" max="15569" width="1.6640625" style="253" customWidth="1"/>
    <col min="15570" max="15570" width="16.6640625" style="253" customWidth="1"/>
    <col min="15571" max="15571" width="1.6640625" style="253" customWidth="1"/>
    <col min="15572" max="15572" width="16.33203125" style="253" customWidth="1"/>
    <col min="15573" max="15573" width="1.6640625" style="253" customWidth="1"/>
    <col min="15574" max="15574" width="16.6640625" style="253" customWidth="1"/>
    <col min="15575" max="15575" width="1.6640625" style="253" customWidth="1"/>
    <col min="15576" max="15576" width="19.5546875" style="253" customWidth="1"/>
    <col min="15577" max="15577" width="16.6640625" style="253" customWidth="1"/>
    <col min="15578" max="15812" width="8.6640625" style="253"/>
    <col min="15813" max="15813" width="12.6640625" style="253" customWidth="1"/>
    <col min="15814" max="15814" width="75.6640625" style="253" customWidth="1"/>
    <col min="15815" max="15818" width="18.6640625" style="253" customWidth="1"/>
    <col min="15819" max="15819" width="1.6640625" style="253" customWidth="1"/>
    <col min="15820" max="15820" width="18.6640625" style="253" customWidth="1"/>
    <col min="15821" max="15821" width="1.6640625" style="253" customWidth="1"/>
    <col min="15822" max="15822" width="16.6640625" style="253" customWidth="1"/>
    <col min="15823" max="15823" width="1.6640625" style="253" customWidth="1"/>
    <col min="15824" max="15824" width="16.6640625" style="253" customWidth="1"/>
    <col min="15825" max="15825" width="1.6640625" style="253" customWidth="1"/>
    <col min="15826" max="15826" width="16.6640625" style="253" customWidth="1"/>
    <col min="15827" max="15827" width="1.6640625" style="253" customWidth="1"/>
    <col min="15828" max="15828" width="16.33203125" style="253" customWidth="1"/>
    <col min="15829" max="15829" width="1.6640625" style="253" customWidth="1"/>
    <col min="15830" max="15830" width="16.6640625" style="253" customWidth="1"/>
    <col min="15831" max="15831" width="1.6640625" style="253" customWidth="1"/>
    <col min="15832" max="15832" width="19.5546875" style="253" customWidth="1"/>
    <col min="15833" max="15833" width="16.6640625" style="253" customWidth="1"/>
    <col min="15834" max="16068" width="8.6640625" style="253"/>
    <col min="16069" max="16069" width="12.6640625" style="253" customWidth="1"/>
    <col min="16070" max="16070" width="75.6640625" style="253" customWidth="1"/>
    <col min="16071" max="16074" width="18.6640625" style="253" customWidth="1"/>
    <col min="16075" max="16075" width="1.6640625" style="253" customWidth="1"/>
    <col min="16076" max="16076" width="18.6640625" style="253" customWidth="1"/>
    <col min="16077" max="16077" width="1.6640625" style="253" customWidth="1"/>
    <col min="16078" max="16078" width="16.6640625" style="253" customWidth="1"/>
    <col min="16079" max="16079" width="1.6640625" style="253" customWidth="1"/>
    <col min="16080" max="16080" width="16.6640625" style="253" customWidth="1"/>
    <col min="16081" max="16081" width="1.6640625" style="253" customWidth="1"/>
    <col min="16082" max="16082" width="16.6640625" style="253" customWidth="1"/>
    <col min="16083" max="16083" width="1.6640625" style="253" customWidth="1"/>
    <col min="16084" max="16084" width="16.33203125" style="253" customWidth="1"/>
    <col min="16085" max="16085" width="1.6640625" style="253" customWidth="1"/>
    <col min="16086" max="16086" width="16.6640625" style="253" customWidth="1"/>
    <col min="16087" max="16087" width="1.6640625" style="253" customWidth="1"/>
    <col min="16088" max="16088" width="19.5546875" style="253" customWidth="1"/>
    <col min="16089" max="16089" width="16.6640625" style="253" customWidth="1"/>
    <col min="16090" max="16384" width="8.6640625" style="253"/>
  </cols>
  <sheetData>
    <row r="1" spans="1:29" ht="15" customHeight="1" thickBot="1">
      <c r="A1" s="322"/>
      <c r="B1" s="322"/>
      <c r="C1" s="322"/>
      <c r="D1" s="10"/>
      <c r="E1" s="252" t="s">
        <v>14</v>
      </c>
      <c r="F1" s="360" t="s">
        <v>552</v>
      </c>
      <c r="G1" s="12"/>
      <c r="H1" s="13"/>
      <c r="I1" s="255" t="s">
        <v>15</v>
      </c>
      <c r="J1" s="256"/>
      <c r="K1" s="256"/>
      <c r="L1" s="257">
        <f>SUM(I6:R6)</f>
        <v>21031482.102686483</v>
      </c>
      <c r="M1" s="1044"/>
      <c r="N1" s="258"/>
      <c r="Q1" s="268"/>
      <c r="R1"/>
    </row>
    <row r="2" spans="1:29" ht="15" customHeight="1">
      <c r="D2" s="20"/>
      <c r="F2" s="370" t="s">
        <v>553</v>
      </c>
      <c r="I2" s="262"/>
      <c r="J2" s="262"/>
      <c r="K2" s="262"/>
      <c r="L2" s="944"/>
      <c r="M2" s="944"/>
      <c r="O2" s="261"/>
      <c r="Q2" s="260"/>
      <c r="R2" s="253"/>
    </row>
    <row r="3" spans="1:29" ht="15" customHeight="1">
      <c r="D3" s="179"/>
      <c r="E3" s="263" t="s">
        <v>4</v>
      </c>
      <c r="F3" s="362" t="s">
        <v>554</v>
      </c>
      <c r="I3" s="1116"/>
      <c r="J3" s="935"/>
      <c r="K3" s="935"/>
      <c r="L3" s="935"/>
      <c r="M3" s="935"/>
      <c r="N3" s="935"/>
      <c r="O3" s="935"/>
      <c r="P3" s="1116"/>
      <c r="Q3" s="935"/>
      <c r="R3" s="1116"/>
    </row>
    <row r="4" spans="1:29" ht="15" customHeight="1">
      <c r="D4" s="180"/>
      <c r="E4" s="263" t="e">
        <f>#REF!</f>
        <v>#REF!</v>
      </c>
      <c r="F4" s="325" t="s">
        <v>488</v>
      </c>
      <c r="I4" s="259">
        <v>1</v>
      </c>
      <c r="J4" s="259">
        <f>+I4+1</f>
        <v>2</v>
      </c>
      <c r="K4" s="259">
        <f t="shared" ref="K4:R4" si="0">+J4+1</f>
        <v>3</v>
      </c>
      <c r="L4" s="259">
        <f t="shared" si="0"/>
        <v>4</v>
      </c>
      <c r="M4" s="259">
        <f t="shared" si="0"/>
        <v>5</v>
      </c>
      <c r="N4" s="259">
        <f t="shared" si="0"/>
        <v>6</v>
      </c>
      <c r="O4" s="259">
        <f t="shared" si="0"/>
        <v>7</v>
      </c>
      <c r="P4" s="259">
        <f t="shared" si="0"/>
        <v>8</v>
      </c>
      <c r="Q4" s="259">
        <f t="shared" si="0"/>
        <v>9</v>
      </c>
      <c r="R4" s="259">
        <f t="shared" si="0"/>
        <v>10</v>
      </c>
    </row>
    <row r="5" spans="1:29" ht="15" customHeight="1">
      <c r="D5" s="181"/>
      <c r="E5" s="264"/>
      <c r="F5" s="363" t="s">
        <v>555</v>
      </c>
      <c r="G5" s="324"/>
      <c r="I5" s="265" t="s">
        <v>16</v>
      </c>
      <c r="J5" s="265" t="s">
        <v>16</v>
      </c>
      <c r="K5" s="259" t="s">
        <v>16</v>
      </c>
      <c r="L5" s="945" t="s">
        <v>16</v>
      </c>
      <c r="M5" s="259" t="s">
        <v>16</v>
      </c>
      <c r="N5" s="265" t="s">
        <v>16</v>
      </c>
      <c r="O5" s="259" t="s">
        <v>16</v>
      </c>
      <c r="P5" s="259" t="s">
        <v>16</v>
      </c>
      <c r="Q5" s="945" t="s">
        <v>16</v>
      </c>
      <c r="R5" s="259" t="s">
        <v>16</v>
      </c>
    </row>
    <row r="6" spans="1:29" ht="15" customHeight="1">
      <c r="D6" s="182"/>
      <c r="E6" s="267"/>
      <c r="G6" s="268" t="s">
        <v>17</v>
      </c>
      <c r="H6" s="268"/>
      <c r="I6" s="269">
        <f t="shared" ref="I6:R6" si="1">SUM(I9:I57)-SUM(I58:I110)+SUM(I118:I141)</f>
        <v>-758068.22108383104</v>
      </c>
      <c r="J6" s="269">
        <f t="shared" ref="J6" si="2">SUM(J9:J57)-SUM(J58:J110)+SUM(J118:J141)</f>
        <v>-1991010</v>
      </c>
      <c r="K6" s="269">
        <f t="shared" si="1"/>
        <v>21282106.455112655</v>
      </c>
      <c r="L6" s="947">
        <f t="shared" ref="L6" si="3">SUM(L9:L57)-SUM(L58:L110)+SUM(L118:L141)</f>
        <v>511382</v>
      </c>
      <c r="M6" s="269">
        <f t="shared" ref="M6" si="4">SUM(M9:M57)-SUM(M58:M110)+SUM(M118:M141)</f>
        <v>-29245</v>
      </c>
      <c r="N6" s="269">
        <f t="shared" si="1"/>
        <v>-2926949.1831405908</v>
      </c>
      <c r="O6" s="269">
        <f t="shared" si="1"/>
        <v>-3540020.2300000004</v>
      </c>
      <c r="P6" s="269">
        <f t="shared" ref="P6" si="5">SUM(P9:P57)-SUM(P58:P110)+SUM(P118:P141)</f>
        <v>23957000</v>
      </c>
      <c r="Q6" s="947">
        <f>SUM(Q9:Q57)-SUM(Q58:Q110)+SUM(Q118:Q141)</f>
        <v>-10300954.679999998</v>
      </c>
      <c r="R6" s="269">
        <f t="shared" si="1"/>
        <v>-5172759.0382017521</v>
      </c>
    </row>
    <row r="7" spans="1:29" ht="48" customHeight="1" thickBot="1">
      <c r="A7" s="247" t="s">
        <v>343</v>
      </c>
      <c r="B7" s="247"/>
      <c r="C7" s="247"/>
      <c r="D7" s="23" t="s">
        <v>18</v>
      </c>
      <c r="E7" s="270" t="s">
        <v>19</v>
      </c>
      <c r="F7" s="371" t="s">
        <v>151</v>
      </c>
      <c r="G7" s="271" t="s">
        <v>1929</v>
      </c>
      <c r="H7" s="272" t="s">
        <v>152</v>
      </c>
      <c r="I7" s="273" t="s">
        <v>5</v>
      </c>
      <c r="J7" s="273" t="s">
        <v>1834</v>
      </c>
      <c r="K7" s="273" t="s">
        <v>1768</v>
      </c>
      <c r="L7" s="273" t="s">
        <v>1770</v>
      </c>
      <c r="M7" s="273" t="s">
        <v>1769</v>
      </c>
      <c r="N7" s="273" t="s">
        <v>327</v>
      </c>
      <c r="O7" s="273" t="s">
        <v>326</v>
      </c>
      <c r="P7" s="273" t="s">
        <v>1835</v>
      </c>
      <c r="Q7" s="273" t="s">
        <v>1767</v>
      </c>
      <c r="R7" s="273" t="s">
        <v>6</v>
      </c>
    </row>
    <row r="8" spans="1:29" ht="13.8" thickTop="1">
      <c r="A8" s="247"/>
      <c r="B8" s="247"/>
      <c r="C8" s="247"/>
      <c r="D8" s="185"/>
      <c r="E8" s="259"/>
      <c r="F8" s="275"/>
      <c r="G8" s="275"/>
      <c r="H8" s="276"/>
      <c r="I8" s="274"/>
      <c r="J8" s="277"/>
      <c r="K8" s="277"/>
      <c r="L8" s="277"/>
      <c r="M8" s="277"/>
      <c r="N8" s="277"/>
      <c r="O8" s="277"/>
      <c r="P8" s="277"/>
      <c r="Q8" s="277"/>
      <c r="R8" s="274"/>
    </row>
    <row r="9" spans="1:29">
      <c r="A9" s="247"/>
      <c r="B9" s="247"/>
      <c r="C9" s="247"/>
      <c r="D9" s="205"/>
      <c r="E9" s="278" t="s">
        <v>273</v>
      </c>
      <c r="F9" s="289"/>
      <c r="G9" s="279"/>
      <c r="H9" s="280"/>
      <c r="I9" s="281"/>
      <c r="J9" s="281"/>
      <c r="K9" s="281"/>
      <c r="L9" s="281"/>
      <c r="M9" s="281"/>
      <c r="N9" s="281"/>
      <c r="O9" s="281"/>
      <c r="P9" s="281"/>
      <c r="Q9" s="281"/>
      <c r="R9" s="281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</row>
    <row r="10" spans="1:29">
      <c r="A10" s="247"/>
      <c r="B10" s="247"/>
      <c r="C10" s="247"/>
      <c r="D10" s="205"/>
      <c r="E10" s="267" t="s">
        <v>133</v>
      </c>
      <c r="F10" s="289"/>
      <c r="G10" s="279"/>
      <c r="H10" s="280"/>
      <c r="I10" s="281"/>
      <c r="J10" s="281"/>
      <c r="K10" s="281"/>
      <c r="L10" s="281"/>
      <c r="M10" s="281"/>
      <c r="N10" s="281"/>
      <c r="O10" s="281"/>
      <c r="P10" s="281"/>
      <c r="Q10" s="281"/>
      <c r="R10" s="281"/>
      <c r="S10" s="282"/>
      <c r="T10" s="282"/>
      <c r="U10" s="282"/>
      <c r="V10" s="282"/>
      <c r="W10" s="282"/>
      <c r="X10" s="282"/>
      <c r="Y10" s="282"/>
      <c r="Z10" s="282"/>
      <c r="AA10" s="282"/>
      <c r="AB10" s="282"/>
      <c r="AC10" s="282"/>
    </row>
    <row r="11" spans="1:29">
      <c r="A11" s="247" t="s">
        <v>739</v>
      </c>
      <c r="B11" s="247"/>
      <c r="C11" s="247"/>
      <c r="D11" s="205">
        <v>302</v>
      </c>
      <c r="E11" s="283" t="s">
        <v>99</v>
      </c>
      <c r="F11" s="373">
        <f>VLOOKUP(A11,'RB-UNADJ-Plant'!$A$12:$E$107,5,FALSE)</f>
        <v>370542.09</v>
      </c>
      <c r="G11" s="281">
        <f>SUM(I11:R11)</f>
        <v>-20652</v>
      </c>
      <c r="H11" s="284">
        <f>F11+G11</f>
        <v>349890.09</v>
      </c>
      <c r="I11" s="281"/>
      <c r="J11" s="281"/>
      <c r="K11" s="281"/>
      <c r="L11" s="281"/>
      <c r="M11" s="281"/>
      <c r="N11" s="281"/>
      <c r="O11" s="281"/>
      <c r="P11" s="281"/>
      <c r="Q11" s="281">
        <v>-20652</v>
      </c>
      <c r="R11" s="281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</row>
    <row r="12" spans="1:29">
      <c r="A12" s="247" t="s">
        <v>740</v>
      </c>
      <c r="B12" s="247"/>
      <c r="C12" s="247"/>
      <c r="D12" s="205">
        <v>303</v>
      </c>
      <c r="E12" s="283" t="s">
        <v>446</v>
      </c>
      <c r="F12" s="373">
        <f>VLOOKUP(A12,'RB-UNADJ-Plant'!$A$12:$E$107,5,FALSE)</f>
        <v>85701.340000000011</v>
      </c>
      <c r="G12" s="281">
        <f>SUM(I12:R12)</f>
        <v>1361035</v>
      </c>
      <c r="H12" s="284">
        <f>F12+G12</f>
        <v>1446736.34</v>
      </c>
      <c r="I12" s="281"/>
      <c r="J12" s="281"/>
      <c r="K12" s="281"/>
      <c r="L12" s="281"/>
      <c r="M12" s="281"/>
      <c r="N12" s="281"/>
      <c r="O12" s="281"/>
      <c r="P12" s="281">
        <v>1361035</v>
      </c>
      <c r="Q12" s="281"/>
      <c r="R12" s="281"/>
      <c r="S12" s="282"/>
      <c r="T12" s="282"/>
      <c r="U12" s="282"/>
      <c r="V12" s="282"/>
      <c r="W12" s="282"/>
      <c r="X12" s="282"/>
      <c r="Y12" s="282"/>
      <c r="Z12" s="282"/>
      <c r="AA12" s="282"/>
      <c r="AB12" s="282"/>
      <c r="AC12" s="282"/>
    </row>
    <row r="13" spans="1:29">
      <c r="A13" s="247"/>
      <c r="B13" s="247"/>
      <c r="C13" s="247"/>
      <c r="D13" s="205"/>
      <c r="E13" s="286" t="s">
        <v>260</v>
      </c>
      <c r="F13" s="287">
        <f>SUM(F11:F12)</f>
        <v>456243.43000000005</v>
      </c>
      <c r="G13" s="287">
        <f>SUM(G11:G12)</f>
        <v>1340383</v>
      </c>
      <c r="H13" s="288">
        <f>SUM(H11:H12)</f>
        <v>1796626.4300000002</v>
      </c>
      <c r="I13" s="281"/>
      <c r="J13" s="281"/>
      <c r="K13" s="281"/>
      <c r="L13" s="281"/>
      <c r="M13" s="281"/>
      <c r="N13" s="281"/>
      <c r="O13" s="281"/>
      <c r="P13" s="281"/>
      <c r="Q13" s="281"/>
      <c r="R13" s="281"/>
      <c r="S13" s="282"/>
      <c r="T13" s="282"/>
      <c r="U13" s="282"/>
      <c r="V13" s="282"/>
      <c r="W13" s="282"/>
      <c r="X13" s="282"/>
      <c r="Y13" s="282"/>
      <c r="Z13" s="282"/>
      <c r="AA13" s="282"/>
      <c r="AB13" s="282"/>
      <c r="AC13" s="282"/>
    </row>
    <row r="14" spans="1:29">
      <c r="A14" s="247"/>
      <c r="B14" s="247"/>
      <c r="C14" s="247"/>
      <c r="D14" s="205"/>
      <c r="E14" s="290"/>
      <c r="F14" s="291"/>
      <c r="G14" s="291"/>
      <c r="H14" s="292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2"/>
      <c r="T14" s="282"/>
      <c r="U14" s="282"/>
      <c r="V14" s="282"/>
      <c r="W14" s="282"/>
      <c r="X14" s="282"/>
      <c r="Y14" s="282"/>
      <c r="Z14" s="282"/>
      <c r="AA14" s="282"/>
      <c r="AB14" s="282"/>
      <c r="AC14" s="282"/>
    </row>
    <row r="15" spans="1:29">
      <c r="A15" s="247"/>
      <c r="B15" s="247"/>
      <c r="C15" s="247"/>
      <c r="D15" s="249"/>
      <c r="E15" s="267" t="s">
        <v>135</v>
      </c>
      <c r="F15" s="293"/>
      <c r="G15" s="293"/>
      <c r="H15" s="294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2"/>
      <c r="T15" s="282"/>
      <c r="U15" s="282"/>
      <c r="V15" s="282"/>
      <c r="W15" s="282"/>
      <c r="X15" s="282"/>
      <c r="Y15" s="282"/>
      <c r="Z15" s="282"/>
      <c r="AA15" s="282"/>
      <c r="AB15" s="282"/>
      <c r="AC15" s="282"/>
    </row>
    <row r="16" spans="1:29">
      <c r="A16" s="247" t="s">
        <v>741</v>
      </c>
      <c r="B16" s="247"/>
      <c r="C16" s="247"/>
      <c r="D16" s="205">
        <v>365</v>
      </c>
      <c r="E16" s="283" t="s">
        <v>103</v>
      </c>
      <c r="F16" s="373">
        <f>VLOOKUP(A16,'RB-UNADJ-Plant'!$A$12:$E$107,5,FALSE)</f>
        <v>102605.64000000001</v>
      </c>
      <c r="G16" s="281">
        <f>SUM(I16:R16)</f>
        <v>-14473.42</v>
      </c>
      <c r="H16" s="284">
        <f>F16+G16</f>
        <v>88132.220000000016</v>
      </c>
      <c r="I16" s="281"/>
      <c r="J16" s="281">
        <v>-4398</v>
      </c>
      <c r="K16" s="281"/>
      <c r="L16" s="281"/>
      <c r="M16" s="281"/>
      <c r="N16" s="281"/>
      <c r="O16" s="281">
        <v>-10075.42</v>
      </c>
      <c r="P16" s="281"/>
      <c r="Q16" s="281"/>
      <c r="R16" s="281"/>
      <c r="S16" s="282"/>
      <c r="T16" s="282"/>
      <c r="U16" s="282"/>
      <c r="V16" s="282"/>
      <c r="W16" s="282"/>
      <c r="X16" s="282"/>
      <c r="Y16" s="282"/>
      <c r="Z16" s="282"/>
      <c r="AA16" s="282"/>
      <c r="AB16" s="282"/>
      <c r="AC16" s="282"/>
    </row>
    <row r="17" spans="1:17">
      <c r="A17" s="247" t="s">
        <v>742</v>
      </c>
      <c r="B17" s="247"/>
      <c r="C17" s="247"/>
      <c r="D17" s="205">
        <v>366</v>
      </c>
      <c r="E17" s="283" t="s">
        <v>104</v>
      </c>
      <c r="F17" s="373">
        <f>VLOOKUP(A17,'RB-UNADJ-Plant'!$A$12:$E$107,5,FALSE)</f>
        <v>21626.02</v>
      </c>
      <c r="G17" s="281">
        <f>SUM(I17:R17)</f>
        <v>-927</v>
      </c>
      <c r="H17" s="284">
        <f>F17+G17</f>
        <v>20699.02</v>
      </c>
      <c r="I17" s="281"/>
      <c r="J17" s="281">
        <v>-927</v>
      </c>
      <c r="K17" s="281"/>
      <c r="L17" s="281"/>
      <c r="M17" s="281"/>
      <c r="N17" s="281"/>
      <c r="O17" s="281"/>
      <c r="P17" s="281"/>
      <c r="Q17" s="281"/>
    </row>
    <row r="18" spans="1:17">
      <c r="A18" s="247" t="s">
        <v>743</v>
      </c>
      <c r="B18" s="247"/>
      <c r="C18" s="247"/>
      <c r="D18" s="205">
        <v>367</v>
      </c>
      <c r="E18" s="283" t="s">
        <v>110</v>
      </c>
      <c r="F18" s="373">
        <f>VLOOKUP(A18,'RB-UNADJ-Plant'!$A$12:$E$107,5,FALSE)</f>
        <v>22186184.389999997</v>
      </c>
      <c r="G18" s="281">
        <f>SUM(I18:R18)</f>
        <v>-4372069.9000000004</v>
      </c>
      <c r="H18" s="284">
        <f>F18+G18</f>
        <v>17814114.489999995</v>
      </c>
      <c r="I18" s="281"/>
      <c r="J18" s="281">
        <v>-951045</v>
      </c>
      <c r="K18" s="281"/>
      <c r="L18" s="281"/>
      <c r="M18" s="281"/>
      <c r="N18" s="281"/>
      <c r="O18" s="281">
        <v>-3421024.9</v>
      </c>
      <c r="P18" s="281"/>
      <c r="Q18" s="281"/>
    </row>
    <row r="19" spans="1:17">
      <c r="A19" s="247" t="s">
        <v>744</v>
      </c>
      <c r="B19" s="247"/>
      <c r="C19" s="247"/>
      <c r="D19" s="205">
        <v>369</v>
      </c>
      <c r="E19" s="283" t="s">
        <v>1544</v>
      </c>
      <c r="F19" s="373">
        <f>VLOOKUP(A19,'RB-UNADJ-Plant'!$A$12:$E$107,5,FALSE)</f>
        <v>3460585.6700000004</v>
      </c>
      <c r="G19" s="281">
        <f>SUM(I19:R19)</f>
        <v>-2591944.15</v>
      </c>
      <c r="H19" s="284">
        <f>F19+G19</f>
        <v>868641.52000000048</v>
      </c>
      <c r="I19" s="281"/>
      <c r="J19" s="281">
        <v>-148343</v>
      </c>
      <c r="K19" s="281"/>
      <c r="L19" s="281"/>
      <c r="M19" s="281"/>
      <c r="N19" s="281"/>
      <c r="O19" s="281">
        <v>-2443601.15</v>
      </c>
      <c r="P19" s="281"/>
      <c r="Q19" s="281"/>
    </row>
    <row r="20" spans="1:17">
      <c r="A20" s="247" t="s">
        <v>745</v>
      </c>
      <c r="B20" s="247"/>
      <c r="C20" s="247"/>
      <c r="D20" s="205">
        <v>371</v>
      </c>
      <c r="E20" s="283" t="s">
        <v>107</v>
      </c>
      <c r="F20" s="373">
        <f>VLOOKUP(A20,'RB-UNADJ-Plant'!$A$12:$E$107,5,FALSE)</f>
        <v>183581.23</v>
      </c>
      <c r="G20" s="281">
        <f>SUM(I20:R20)</f>
        <v>-183581.23</v>
      </c>
      <c r="H20" s="284">
        <f>F20+G20</f>
        <v>0</v>
      </c>
      <c r="I20" s="281"/>
      <c r="J20" s="281"/>
      <c r="K20" s="281"/>
      <c r="L20" s="281"/>
      <c r="M20" s="281"/>
      <c r="N20" s="281"/>
      <c r="O20" s="281">
        <v>-183581.23</v>
      </c>
      <c r="P20" s="281"/>
      <c r="Q20" s="281"/>
    </row>
    <row r="21" spans="1:17">
      <c r="A21" s="247"/>
      <c r="B21" s="247"/>
      <c r="C21" s="247"/>
      <c r="D21" s="182"/>
      <c r="E21" s="286" t="s">
        <v>261</v>
      </c>
      <c r="F21" s="287">
        <f>SUM(F16:F20)</f>
        <v>25954582.949999999</v>
      </c>
      <c r="G21" s="295">
        <f>SUM(G16:G20)</f>
        <v>-7162995.7000000011</v>
      </c>
      <c r="H21" s="288">
        <f>SUM(H16:H20)</f>
        <v>18791587.249999993</v>
      </c>
      <c r="I21" s="281"/>
      <c r="J21" s="281"/>
      <c r="K21" s="281"/>
      <c r="L21" s="281"/>
      <c r="M21" s="281"/>
      <c r="N21" s="281"/>
      <c r="O21" s="281"/>
      <c r="P21" s="281"/>
      <c r="Q21" s="281"/>
    </row>
    <row r="22" spans="1:17">
      <c r="A22" s="247"/>
      <c r="B22" s="247"/>
      <c r="C22" s="247"/>
      <c r="D22" s="182"/>
      <c r="E22" s="290"/>
      <c r="F22" s="291"/>
      <c r="G22" s="291"/>
      <c r="H22" s="292"/>
      <c r="I22" s="281"/>
      <c r="J22" s="281"/>
      <c r="K22" s="281"/>
      <c r="L22" s="281"/>
      <c r="M22" s="281"/>
      <c r="N22" s="281"/>
      <c r="O22" s="281"/>
      <c r="P22" s="281"/>
      <c r="Q22" s="281"/>
    </row>
    <row r="23" spans="1:17">
      <c r="A23" s="247"/>
      <c r="B23" s="247"/>
      <c r="C23" s="247"/>
      <c r="D23" s="182"/>
      <c r="E23" s="267" t="s">
        <v>136</v>
      </c>
      <c r="F23" s="289"/>
      <c r="G23" s="289"/>
      <c r="H23" s="280"/>
      <c r="I23" s="281"/>
      <c r="J23" s="281"/>
      <c r="K23" s="281"/>
      <c r="L23" s="281"/>
      <c r="M23" s="281"/>
      <c r="N23" s="281"/>
      <c r="O23" s="281"/>
      <c r="P23" s="281"/>
      <c r="Q23" s="281"/>
    </row>
    <row r="24" spans="1:17">
      <c r="A24" s="247" t="s">
        <v>1746</v>
      </c>
      <c r="B24" s="247"/>
      <c r="C24" s="247"/>
      <c r="D24" s="205">
        <v>374</v>
      </c>
      <c r="E24" s="283" t="s">
        <v>103</v>
      </c>
      <c r="F24" s="373">
        <f>VLOOKUP(A24,'RB-UNADJ-Plant'!$A$12:$E$107,5,FALSE)</f>
        <v>452880.97000000009</v>
      </c>
      <c r="G24" s="281">
        <f t="shared" ref="G24:G35" si="6">SUM(I24:R24)</f>
        <v>-4356</v>
      </c>
      <c r="H24" s="284">
        <f t="shared" ref="H24:H35" si="7">F24+G24</f>
        <v>448524.97000000009</v>
      </c>
      <c r="I24" s="281"/>
      <c r="J24" s="281">
        <v>-19413</v>
      </c>
      <c r="K24" s="281"/>
      <c r="L24" s="281"/>
      <c r="M24" s="281"/>
      <c r="N24" s="281"/>
      <c r="O24" s="281"/>
      <c r="P24" s="281">
        <v>15057</v>
      </c>
      <c r="Q24" s="281"/>
    </row>
    <row r="25" spans="1:17">
      <c r="A25" s="247" t="s">
        <v>746</v>
      </c>
      <c r="B25" s="247"/>
      <c r="C25" s="247"/>
      <c r="D25" s="205">
        <f>+D24+1</f>
        <v>375</v>
      </c>
      <c r="E25" s="283" t="s">
        <v>104</v>
      </c>
      <c r="F25" s="373">
        <f>VLOOKUP(A25,'RB-UNADJ-Plant'!$A$12:$E$107,5,FALSE)</f>
        <v>163164.05000000002</v>
      </c>
      <c r="G25" s="281">
        <f t="shared" si="6"/>
        <v>18803</v>
      </c>
      <c r="H25" s="284">
        <f t="shared" si="7"/>
        <v>181967.05000000002</v>
      </c>
      <c r="I25" s="281"/>
      <c r="J25" s="281">
        <v>-6994</v>
      </c>
      <c r="K25" s="281"/>
      <c r="L25" s="281"/>
      <c r="M25" s="281"/>
      <c r="N25" s="281"/>
      <c r="O25" s="281"/>
      <c r="P25" s="281">
        <v>25797</v>
      </c>
      <c r="Q25" s="281"/>
    </row>
    <row r="26" spans="1:17">
      <c r="A26" s="247" t="s">
        <v>747</v>
      </c>
      <c r="B26" s="247"/>
      <c r="C26" s="247"/>
      <c r="D26" s="205">
        <f>+D25+1</f>
        <v>376</v>
      </c>
      <c r="E26" s="283" t="s">
        <v>110</v>
      </c>
      <c r="F26" s="373">
        <f>VLOOKUP(A26,'RB-UNADJ-Plant'!$A$12:$E$107,5,FALSE)</f>
        <v>259465815.25</v>
      </c>
      <c r="G26" s="281">
        <f t="shared" si="6"/>
        <v>-16789057.573144499</v>
      </c>
      <c r="H26" s="284">
        <f t="shared" si="7"/>
        <v>242676757.6768555</v>
      </c>
      <c r="I26" s="281"/>
      <c r="J26" s="281">
        <v>-11122406</v>
      </c>
      <c r="K26" s="281"/>
      <c r="L26" s="281">
        <v>223153</v>
      </c>
      <c r="M26" s="281"/>
      <c r="N26" s="281">
        <v>-3327244.1231445004</v>
      </c>
      <c r="O26" s="281"/>
      <c r="P26" s="281">
        <f>9425752+34</f>
        <v>9425786</v>
      </c>
      <c r="Q26" s="281">
        <v>-11988346.449999999</v>
      </c>
    </row>
    <row r="27" spans="1:17">
      <c r="A27" s="247" t="s">
        <v>748</v>
      </c>
      <c r="B27" s="247"/>
      <c r="C27" s="247"/>
      <c r="D27" s="205">
        <v>378</v>
      </c>
      <c r="E27" s="283" t="s">
        <v>1545</v>
      </c>
      <c r="F27" s="373">
        <f>VLOOKUP(A27,'RB-UNADJ-Plant'!$A$12:$E$107,5,FALSE)</f>
        <v>5463158.4500000002</v>
      </c>
      <c r="G27" s="281">
        <f t="shared" si="6"/>
        <v>-273307.15000000002</v>
      </c>
      <c r="H27" s="284">
        <f t="shared" si="7"/>
        <v>5189851.3</v>
      </c>
      <c r="I27" s="281"/>
      <c r="J27" s="281">
        <v>-234187</v>
      </c>
      <c r="K27" s="281"/>
      <c r="L27" s="281">
        <v>9330</v>
      </c>
      <c r="M27" s="281"/>
      <c r="N27" s="281"/>
      <c r="O27" s="281"/>
      <c r="P27" s="281">
        <v>154988</v>
      </c>
      <c r="Q27" s="281">
        <v>-203438.15</v>
      </c>
    </row>
    <row r="28" spans="1:17">
      <c r="A28" s="247" t="s">
        <v>749</v>
      </c>
      <c r="B28" s="247"/>
      <c r="C28" s="247"/>
      <c r="D28" s="205">
        <f t="shared" ref="D28:D33" si="8">+D27+1</f>
        <v>379</v>
      </c>
      <c r="E28" s="283" t="s">
        <v>1546</v>
      </c>
      <c r="F28" s="373">
        <f>VLOOKUP(A28,'RB-UNADJ-Plant'!$A$12:$E$107,5,FALSE)</f>
        <v>5891961.3899999997</v>
      </c>
      <c r="G28" s="281">
        <f t="shared" si="6"/>
        <v>-1407796.4814042002</v>
      </c>
      <c r="H28" s="284">
        <f t="shared" si="7"/>
        <v>4484164.9085957995</v>
      </c>
      <c r="I28" s="281"/>
      <c r="J28" s="281">
        <v>-252568</v>
      </c>
      <c r="K28" s="281"/>
      <c r="L28" s="281"/>
      <c r="M28" s="281"/>
      <c r="N28" s="281">
        <v>-1078864.9914042002</v>
      </c>
      <c r="O28" s="281"/>
      <c r="P28" s="281">
        <v>190472</v>
      </c>
      <c r="Q28" s="281">
        <v>-266835.49</v>
      </c>
    </row>
    <row r="29" spans="1:17">
      <c r="A29" s="247" t="s">
        <v>750</v>
      </c>
      <c r="B29" s="247"/>
      <c r="C29" s="247"/>
      <c r="D29" s="205">
        <f t="shared" si="8"/>
        <v>380</v>
      </c>
      <c r="E29" s="283" t="s">
        <v>113</v>
      </c>
      <c r="F29" s="373">
        <f>VLOOKUP(A29,'RB-UNADJ-Plant'!$A$12:$E$107,5,FALSE)</f>
        <v>178729769.45000002</v>
      </c>
      <c r="G29" s="281">
        <f t="shared" si="6"/>
        <v>1113794.8599999999</v>
      </c>
      <c r="H29" s="284">
        <f t="shared" si="7"/>
        <v>179843564.31000003</v>
      </c>
      <c r="I29" s="281"/>
      <c r="J29" s="281"/>
      <c r="K29" s="281"/>
      <c r="L29" s="281">
        <v>3950</v>
      </c>
      <c r="M29" s="281">
        <v>-43555</v>
      </c>
      <c r="N29" s="281"/>
      <c r="O29" s="281"/>
      <c r="P29" s="281">
        <v>4800095</v>
      </c>
      <c r="Q29" s="281">
        <v>-3646695.14</v>
      </c>
    </row>
    <row r="30" spans="1:17">
      <c r="A30" s="247" t="s">
        <v>751</v>
      </c>
      <c r="B30" s="247"/>
      <c r="C30" s="247"/>
      <c r="D30" s="205">
        <f t="shared" si="8"/>
        <v>381</v>
      </c>
      <c r="E30" s="283" t="s">
        <v>114</v>
      </c>
      <c r="F30" s="373">
        <f>VLOOKUP(A30,'RB-UNADJ-Plant'!$A$12:$E$107,5,FALSE)</f>
        <v>41939892.090000004</v>
      </c>
      <c r="G30" s="281">
        <f t="shared" si="6"/>
        <v>1020937.06</v>
      </c>
      <c r="H30" s="284">
        <f t="shared" si="7"/>
        <v>42960829.150000006</v>
      </c>
      <c r="I30" s="281"/>
      <c r="J30" s="281"/>
      <c r="K30" s="281"/>
      <c r="L30" s="281"/>
      <c r="M30" s="281"/>
      <c r="N30" s="281"/>
      <c r="O30" s="281"/>
      <c r="P30" s="281">
        <v>1867380</v>
      </c>
      <c r="Q30" s="281">
        <v>-846442.94</v>
      </c>
    </row>
    <row r="31" spans="1:17">
      <c r="A31" s="247" t="s">
        <v>752</v>
      </c>
      <c r="B31" s="247"/>
      <c r="C31" s="247"/>
      <c r="D31" s="205">
        <f t="shared" si="8"/>
        <v>382</v>
      </c>
      <c r="E31" s="283" t="s">
        <v>115</v>
      </c>
      <c r="F31" s="373">
        <f>VLOOKUP(A31,'RB-UNADJ-Plant'!$A$12:$E$107,5,FALSE)</f>
        <v>15004792.869999999</v>
      </c>
      <c r="G31" s="281">
        <f t="shared" si="6"/>
        <v>731206.64</v>
      </c>
      <c r="H31" s="284">
        <f t="shared" si="7"/>
        <v>15735999.51</v>
      </c>
      <c r="I31" s="281"/>
      <c r="J31" s="281"/>
      <c r="K31" s="281"/>
      <c r="L31" s="281"/>
      <c r="M31" s="281"/>
      <c r="N31" s="281"/>
      <c r="O31" s="281"/>
      <c r="P31" s="281">
        <v>737309</v>
      </c>
      <c r="Q31" s="281">
        <v>-6102.36</v>
      </c>
    </row>
    <row r="32" spans="1:17">
      <c r="A32" s="247" t="s">
        <v>753</v>
      </c>
      <c r="B32" s="247"/>
      <c r="C32" s="247"/>
      <c r="D32" s="205">
        <f t="shared" si="8"/>
        <v>383</v>
      </c>
      <c r="E32" s="283" t="s">
        <v>116</v>
      </c>
      <c r="F32" s="373">
        <f>VLOOKUP(A32,'RB-UNADJ-Plant'!$A$12:$E$107,5,FALSE)</f>
        <v>4981900.8</v>
      </c>
      <c r="G32" s="281">
        <f t="shared" si="6"/>
        <v>275475.33</v>
      </c>
      <c r="H32" s="284">
        <f t="shared" si="7"/>
        <v>5257376.13</v>
      </c>
      <c r="I32" s="281"/>
      <c r="J32" s="281"/>
      <c r="K32" s="281"/>
      <c r="L32" s="281"/>
      <c r="M32" s="281"/>
      <c r="N32" s="281"/>
      <c r="O32" s="281"/>
      <c r="P32" s="281">
        <v>165650</v>
      </c>
      <c r="Q32" s="281">
        <v>109825.33</v>
      </c>
    </row>
    <row r="33" spans="1:17">
      <c r="A33" s="247" t="s">
        <v>754</v>
      </c>
      <c r="B33" s="247"/>
      <c r="C33" s="247"/>
      <c r="D33" s="205">
        <f t="shared" si="8"/>
        <v>384</v>
      </c>
      <c r="E33" s="283" t="s">
        <v>117</v>
      </c>
      <c r="F33" s="373">
        <f>VLOOKUP(A33,'RB-UNADJ-Plant'!$A$12:$E$107,5,FALSE)</f>
        <v>4325808.3899999997</v>
      </c>
      <c r="G33" s="281">
        <f t="shared" si="6"/>
        <v>198175</v>
      </c>
      <c r="H33" s="284">
        <f t="shared" si="7"/>
        <v>4523983.3899999997</v>
      </c>
      <c r="I33" s="281"/>
      <c r="J33" s="281"/>
      <c r="K33" s="281"/>
      <c r="L33" s="281"/>
      <c r="M33" s="281"/>
      <c r="N33" s="281"/>
      <c r="O33" s="281"/>
      <c r="P33" s="281">
        <v>198175</v>
      </c>
      <c r="Q33" s="281"/>
    </row>
    <row r="34" spans="1:17">
      <c r="A34" s="247" t="s">
        <v>755</v>
      </c>
      <c r="B34" s="247"/>
      <c r="C34" s="247"/>
      <c r="D34" s="205">
        <v>385</v>
      </c>
      <c r="E34" s="283" t="s">
        <v>1547</v>
      </c>
      <c r="F34" s="373">
        <f>VLOOKUP(A34,'RB-UNADJ-Plant'!$A$12:$E$107,5,FALSE)</f>
        <v>2947401.92</v>
      </c>
      <c r="G34" s="281">
        <f t="shared" si="6"/>
        <v>-210420.37</v>
      </c>
      <c r="H34" s="284">
        <f t="shared" si="7"/>
        <v>2736981.55</v>
      </c>
      <c r="I34" s="281"/>
      <c r="J34" s="281"/>
      <c r="K34" s="281"/>
      <c r="L34" s="281"/>
      <c r="M34" s="281"/>
      <c r="N34" s="281"/>
      <c r="O34" s="281">
        <v>-12609.37</v>
      </c>
      <c r="P34" s="281">
        <v>74556</v>
      </c>
      <c r="Q34" s="281">
        <v>-272367</v>
      </c>
    </row>
    <row r="35" spans="1:17">
      <c r="A35" s="247" t="s">
        <v>756</v>
      </c>
      <c r="B35" s="247"/>
      <c r="C35" s="247"/>
      <c r="D35" s="205">
        <v>387</v>
      </c>
      <c r="E35" s="283" t="s">
        <v>107</v>
      </c>
      <c r="F35" s="373">
        <f>VLOOKUP(A35,'RB-UNADJ-Plant'!$A$12:$E$107,5,FALSE)</f>
        <v>2351689.92</v>
      </c>
      <c r="G35" s="281">
        <f t="shared" si="6"/>
        <v>-304375</v>
      </c>
      <c r="H35" s="284">
        <f t="shared" si="7"/>
        <v>2047314.92</v>
      </c>
      <c r="I35" s="281"/>
      <c r="J35" s="281">
        <v>-100809</v>
      </c>
      <c r="K35" s="281"/>
      <c r="L35" s="281"/>
      <c r="M35" s="281"/>
      <c r="N35" s="281"/>
      <c r="O35" s="281"/>
      <c r="P35" s="281">
        <v>-370</v>
      </c>
      <c r="Q35" s="281">
        <v>-203196</v>
      </c>
    </row>
    <row r="36" spans="1:17">
      <c r="A36" s="247"/>
      <c r="B36" s="247"/>
      <c r="C36" s="247"/>
      <c r="D36" s="205"/>
      <c r="E36" s="286" t="s">
        <v>262</v>
      </c>
      <c r="F36" s="287">
        <f>SUM(F24:F35)</f>
        <v>521718235.55000013</v>
      </c>
      <c r="G36" s="287">
        <f>SUM(G24:G35)</f>
        <v>-15630920.684548697</v>
      </c>
      <c r="H36" s="288">
        <f>SUM(H24:H35)</f>
        <v>506087314.86545134</v>
      </c>
      <c r="I36" s="281"/>
      <c r="J36" s="281"/>
      <c r="K36" s="281"/>
      <c r="L36" s="281"/>
      <c r="M36" s="281"/>
      <c r="N36" s="281"/>
      <c r="O36" s="281"/>
      <c r="P36" s="281"/>
      <c r="Q36" s="281"/>
    </row>
    <row r="37" spans="1:17">
      <c r="A37" s="247"/>
      <c r="B37" s="247"/>
      <c r="C37" s="247"/>
      <c r="D37" s="205"/>
      <c r="E37" s="267"/>
      <c r="F37" s="296"/>
      <c r="G37" s="296"/>
      <c r="H37" s="297"/>
      <c r="I37" s="281"/>
      <c r="J37" s="281"/>
      <c r="K37" s="281"/>
      <c r="L37" s="281"/>
      <c r="M37" s="281"/>
      <c r="N37" s="281"/>
      <c r="O37" s="281"/>
      <c r="P37" s="281"/>
      <c r="Q37" s="281"/>
    </row>
    <row r="38" spans="1:17">
      <c r="A38" s="247"/>
      <c r="B38" s="247"/>
      <c r="C38" s="247"/>
      <c r="D38" s="205"/>
      <c r="E38" s="267" t="s">
        <v>137</v>
      </c>
      <c r="F38" s="289"/>
      <c r="G38" s="289"/>
      <c r="H38" s="280"/>
      <c r="I38" s="281"/>
      <c r="J38" s="281"/>
      <c r="K38" s="281"/>
      <c r="L38" s="281"/>
      <c r="M38" s="281"/>
      <c r="N38" s="281"/>
      <c r="O38" s="281"/>
      <c r="P38" s="281"/>
      <c r="Q38" s="281"/>
    </row>
    <row r="39" spans="1:17">
      <c r="A39" s="247" t="s">
        <v>757</v>
      </c>
      <c r="B39" s="247"/>
      <c r="C39" s="247"/>
      <c r="D39" s="205">
        <v>389</v>
      </c>
      <c r="E39" s="283" t="s">
        <v>282</v>
      </c>
      <c r="F39" s="373">
        <f>VLOOKUP(A39,'RB-UNADJ-Plant'!$A$12:$E$107,5,FALSE)</f>
        <v>1514321.3800000001</v>
      </c>
      <c r="G39" s="281">
        <f t="shared" ref="G39:G48" si="9">SUM(I39:R39)</f>
        <v>-133238.22</v>
      </c>
      <c r="H39" s="284">
        <f t="shared" ref="H39:H48" si="10">F39+G39</f>
        <v>1381083.1600000001</v>
      </c>
      <c r="I39" s="281"/>
      <c r="J39" s="281"/>
      <c r="K39" s="281"/>
      <c r="L39" s="281"/>
      <c r="M39" s="281"/>
      <c r="N39" s="281"/>
      <c r="O39" s="281"/>
      <c r="P39" s="281"/>
      <c r="Q39" s="281">
        <v>-133238.22</v>
      </c>
    </row>
    <row r="40" spans="1:17">
      <c r="A40" s="247" t="s">
        <v>758</v>
      </c>
      <c r="B40" s="247"/>
      <c r="C40" s="247"/>
      <c r="D40" s="205">
        <v>390</v>
      </c>
      <c r="E40" s="283" t="s">
        <v>104</v>
      </c>
      <c r="F40" s="373">
        <f>VLOOKUP(A40,'RB-UNADJ-Plant'!$A$12:$E$107,5,FALSE)</f>
        <v>23885149.149999999</v>
      </c>
      <c r="G40" s="281">
        <f t="shared" si="9"/>
        <v>618596</v>
      </c>
      <c r="H40" s="284">
        <f t="shared" si="10"/>
        <v>24503745.149999999</v>
      </c>
      <c r="I40" s="281"/>
      <c r="J40" s="281"/>
      <c r="K40" s="281"/>
      <c r="L40" s="281">
        <v>626</v>
      </c>
      <c r="M40" s="281"/>
      <c r="N40" s="281"/>
      <c r="O40" s="281"/>
      <c r="P40" s="281">
        <v>791434</v>
      </c>
      <c r="Q40" s="281">
        <v>-173464</v>
      </c>
    </row>
    <row r="41" spans="1:17">
      <c r="A41" s="247" t="s">
        <v>759</v>
      </c>
      <c r="B41" s="247"/>
      <c r="C41" s="247"/>
      <c r="D41" s="205">
        <v>391</v>
      </c>
      <c r="E41" s="283" t="s">
        <v>122</v>
      </c>
      <c r="F41" s="373">
        <f>VLOOKUP(A41,'RB-UNADJ-Plant'!$A$12:$E$107,5,FALSE)</f>
        <v>5042969.9799999995</v>
      </c>
      <c r="G41" s="281">
        <f t="shared" si="9"/>
        <v>769776</v>
      </c>
      <c r="H41" s="284">
        <f t="shared" si="10"/>
        <v>5812745.9799999995</v>
      </c>
      <c r="I41" s="281"/>
      <c r="J41" s="281"/>
      <c r="K41" s="281"/>
      <c r="L41" s="281"/>
      <c r="M41" s="281"/>
      <c r="N41" s="281"/>
      <c r="O41" s="281"/>
      <c r="P41" s="281">
        <v>769776</v>
      </c>
      <c r="Q41" s="281"/>
    </row>
    <row r="42" spans="1:17">
      <c r="A42" s="247" t="s">
        <v>760</v>
      </c>
      <c r="B42" s="247"/>
      <c r="C42" s="247"/>
      <c r="D42" s="205">
        <v>392</v>
      </c>
      <c r="E42" s="283" t="s">
        <v>123</v>
      </c>
      <c r="F42" s="373">
        <f>VLOOKUP(A42,'RB-UNADJ-Plant'!$A$12:$E$107,5,FALSE)</f>
        <v>14566588.300000001</v>
      </c>
      <c r="G42" s="281">
        <f t="shared" si="9"/>
        <v>3219866</v>
      </c>
      <c r="H42" s="284">
        <f t="shared" si="10"/>
        <v>17786454.300000001</v>
      </c>
      <c r="I42" s="281"/>
      <c r="J42" s="281"/>
      <c r="K42" s="281"/>
      <c r="L42" s="281">
        <v>275872</v>
      </c>
      <c r="M42" s="281"/>
      <c r="N42" s="281"/>
      <c r="O42" s="281"/>
      <c r="P42" s="281">
        <v>2943994</v>
      </c>
      <c r="Q42" s="281"/>
    </row>
    <row r="43" spans="1:17">
      <c r="A43" s="247" t="s">
        <v>761</v>
      </c>
      <c r="B43" s="247"/>
      <c r="C43" s="247"/>
      <c r="D43" s="205">
        <v>393</v>
      </c>
      <c r="E43" s="283" t="s">
        <v>124</v>
      </c>
      <c r="F43" s="373">
        <f>VLOOKUP(A43,'RB-UNADJ-Plant'!$A$12:$E$107,5,FALSE)</f>
        <v>359295.2</v>
      </c>
      <c r="G43" s="281">
        <f t="shared" si="9"/>
        <v>-26148.49</v>
      </c>
      <c r="H43" s="284">
        <f t="shared" si="10"/>
        <v>333146.71000000002</v>
      </c>
      <c r="I43" s="281"/>
      <c r="J43" s="281"/>
      <c r="K43" s="281"/>
      <c r="L43" s="281"/>
      <c r="M43" s="281"/>
      <c r="N43" s="281"/>
      <c r="O43" s="281"/>
      <c r="P43" s="281"/>
      <c r="Q43" s="281">
        <v>-26148.49</v>
      </c>
    </row>
    <row r="44" spans="1:17">
      <c r="A44" s="247" t="s">
        <v>762</v>
      </c>
      <c r="B44" s="247"/>
      <c r="C44" s="247"/>
      <c r="D44" s="205">
        <v>394</v>
      </c>
      <c r="E44" s="283" t="s">
        <v>125</v>
      </c>
      <c r="F44" s="373">
        <f>VLOOKUP(A44,'RB-UNADJ-Plant'!$A$12:$E$107,5,FALSE)</f>
        <v>6995012.5599999996</v>
      </c>
      <c r="G44" s="281">
        <f t="shared" si="9"/>
        <v>180352.72999999998</v>
      </c>
      <c r="H44" s="284">
        <f t="shared" si="10"/>
        <v>7175365.2899999991</v>
      </c>
      <c r="I44" s="281"/>
      <c r="J44" s="281"/>
      <c r="K44" s="281"/>
      <c r="L44" s="281"/>
      <c r="M44" s="281"/>
      <c r="N44" s="281"/>
      <c r="O44" s="281"/>
      <c r="P44" s="281">
        <v>614832</v>
      </c>
      <c r="Q44" s="281">
        <v>-434479.27</v>
      </c>
    </row>
    <row r="45" spans="1:17">
      <c r="A45" s="247" t="s">
        <v>763</v>
      </c>
      <c r="B45" s="247"/>
      <c r="C45" s="247"/>
      <c r="D45" s="205">
        <v>395</v>
      </c>
      <c r="E45" s="283" t="s">
        <v>126</v>
      </c>
      <c r="F45" s="373">
        <f>VLOOKUP(A45,'RB-UNADJ-Plant'!$A$12:$E$107,5,FALSE)</f>
        <v>90479.96</v>
      </c>
      <c r="G45" s="281">
        <f t="shared" si="9"/>
        <v>0</v>
      </c>
      <c r="H45" s="284">
        <f t="shared" si="10"/>
        <v>90479.96</v>
      </c>
      <c r="I45" s="281"/>
      <c r="J45" s="281"/>
      <c r="K45" s="281"/>
      <c r="L45" s="281"/>
      <c r="M45" s="281"/>
      <c r="N45" s="281"/>
      <c r="O45" s="281"/>
      <c r="P45" s="281"/>
      <c r="Q45" s="281"/>
    </row>
    <row r="46" spans="1:17">
      <c r="A46" s="247" t="s">
        <v>764</v>
      </c>
      <c r="B46" s="247"/>
      <c r="C46" s="247"/>
      <c r="D46" s="205">
        <v>396</v>
      </c>
      <c r="E46" s="283" t="s">
        <v>127</v>
      </c>
      <c r="F46" s="373">
        <f>VLOOKUP(A46,'RB-UNADJ-Plant'!$A$12:$E$107,5,FALSE)</f>
        <v>3048520.8200000003</v>
      </c>
      <c r="G46" s="281">
        <f t="shared" si="9"/>
        <v>1020992.8</v>
      </c>
      <c r="H46" s="284">
        <f t="shared" si="10"/>
        <v>4069513.62</v>
      </c>
      <c r="I46" s="281"/>
      <c r="J46" s="281"/>
      <c r="K46" s="281"/>
      <c r="L46" s="281"/>
      <c r="M46" s="281"/>
      <c r="N46" s="281"/>
      <c r="O46" s="281"/>
      <c r="P46" s="281">
        <v>1008093</v>
      </c>
      <c r="Q46" s="281">
        <v>12899.8</v>
      </c>
    </row>
    <row r="47" spans="1:17">
      <c r="A47" s="247" t="s">
        <v>765</v>
      </c>
      <c r="B47" s="247"/>
      <c r="C47" s="247"/>
      <c r="D47" s="205">
        <v>397</v>
      </c>
      <c r="E47" s="283" t="s">
        <v>128</v>
      </c>
      <c r="F47" s="373">
        <f>VLOOKUP(A47,'RB-UNADJ-Plant'!$A$12:$E$107,5,FALSE)</f>
        <v>4214677.47</v>
      </c>
      <c r="G47" s="281">
        <f t="shared" si="9"/>
        <v>95203</v>
      </c>
      <c r="H47" s="284">
        <f t="shared" si="10"/>
        <v>4309880.47</v>
      </c>
      <c r="I47" s="281"/>
      <c r="J47" s="281"/>
      <c r="K47" s="281"/>
      <c r="L47" s="281"/>
      <c r="M47" s="281"/>
      <c r="N47" s="281"/>
      <c r="O47" s="281"/>
      <c r="P47" s="281">
        <v>95203</v>
      </c>
      <c r="Q47" s="281"/>
    </row>
    <row r="48" spans="1:17">
      <c r="A48" s="247" t="s">
        <v>766</v>
      </c>
      <c r="B48" s="247"/>
      <c r="C48" s="247"/>
      <c r="D48" s="205">
        <v>398</v>
      </c>
      <c r="E48" s="283" t="s">
        <v>129</v>
      </c>
      <c r="F48" s="373">
        <f>VLOOKUP(A48,'RB-UNADJ-Plant'!$A$12:$E$107,5,FALSE)</f>
        <v>537158.2300000001</v>
      </c>
      <c r="G48" s="281">
        <f t="shared" si="9"/>
        <v>-122285.81</v>
      </c>
      <c r="H48" s="284">
        <f t="shared" si="10"/>
        <v>414872.4200000001</v>
      </c>
      <c r="I48" s="281"/>
      <c r="J48" s="281"/>
      <c r="K48" s="281"/>
      <c r="L48" s="281"/>
      <c r="M48" s="281"/>
      <c r="N48" s="281"/>
      <c r="O48" s="281"/>
      <c r="P48" s="281">
        <v>-123014</v>
      </c>
      <c r="Q48" s="281">
        <v>728.19</v>
      </c>
    </row>
    <row r="49" spans="1:17">
      <c r="A49" s="248"/>
      <c r="B49" s="248"/>
      <c r="C49" s="248"/>
      <c r="D49" s="205"/>
      <c r="E49" s="298" t="s">
        <v>263</v>
      </c>
      <c r="F49" s="287">
        <f>SUM(F39:F48)</f>
        <v>60254173.050000004</v>
      </c>
      <c r="G49" s="287">
        <f>SUM(G39:G48)</f>
        <v>5623114.0099999998</v>
      </c>
      <c r="H49" s="288">
        <f>SUM(H39:H48)</f>
        <v>65877287.060000002</v>
      </c>
      <c r="I49" s="281"/>
      <c r="J49" s="281"/>
      <c r="K49" s="281"/>
      <c r="L49" s="281"/>
      <c r="M49" s="281"/>
      <c r="N49" s="281"/>
      <c r="O49" s="281"/>
      <c r="P49" s="281"/>
      <c r="Q49" s="281"/>
    </row>
    <row r="50" spans="1:17">
      <c r="A50" s="248"/>
      <c r="B50" s="248"/>
      <c r="C50" s="248"/>
      <c r="D50" s="182"/>
      <c r="E50" s="299"/>
      <c r="F50" s="291"/>
      <c r="G50" s="291"/>
      <c r="H50" s="292"/>
      <c r="I50" s="281"/>
      <c r="J50" s="281"/>
      <c r="K50" s="281"/>
      <c r="L50" s="281"/>
      <c r="M50" s="281"/>
      <c r="N50" s="281"/>
      <c r="O50" s="281"/>
      <c r="P50" s="281"/>
      <c r="Q50" s="281"/>
    </row>
    <row r="51" spans="1:17" s="282" customFormat="1">
      <c r="A51" s="248"/>
      <c r="B51" s="248"/>
      <c r="C51" s="248"/>
      <c r="D51" s="205"/>
      <c r="E51" s="267" t="s">
        <v>274</v>
      </c>
      <c r="F51" s="296"/>
      <c r="G51" s="296"/>
      <c r="H51" s="297"/>
      <c r="I51" s="281"/>
      <c r="J51" s="281"/>
      <c r="K51" s="281"/>
      <c r="L51" s="281"/>
      <c r="M51" s="281"/>
      <c r="N51" s="281"/>
      <c r="O51" s="281"/>
      <c r="P51" s="281"/>
      <c r="Q51" s="281"/>
    </row>
    <row r="52" spans="1:17" s="282" customFormat="1">
      <c r="A52" s="248"/>
      <c r="B52" s="248"/>
      <c r="C52" s="248"/>
      <c r="E52" s="283" t="s">
        <v>133</v>
      </c>
      <c r="F52" s="266">
        <f>+F13</f>
        <v>456243.43000000005</v>
      </c>
      <c r="G52" s="296">
        <f>+G13</f>
        <v>1340383</v>
      </c>
      <c r="H52" s="297">
        <f>+H13</f>
        <v>1796626.4300000002</v>
      </c>
      <c r="I52" s="281"/>
      <c r="J52" s="281"/>
      <c r="K52" s="281"/>
      <c r="L52" s="281"/>
      <c r="M52" s="281"/>
      <c r="N52" s="281"/>
      <c r="O52" s="281"/>
      <c r="P52" s="281"/>
      <c r="Q52" s="281"/>
    </row>
    <row r="53" spans="1:17" s="282" customFormat="1">
      <c r="A53" s="247"/>
      <c r="B53" s="247"/>
      <c r="C53" s="247"/>
      <c r="E53" s="283" t="s">
        <v>135</v>
      </c>
      <c r="F53" s="266">
        <f>+F21</f>
        <v>25954582.949999999</v>
      </c>
      <c r="G53" s="296">
        <f>+G21</f>
        <v>-7162995.7000000011</v>
      </c>
      <c r="H53" s="297">
        <f>+H21</f>
        <v>18791587.249999993</v>
      </c>
      <c r="I53" s="281"/>
      <c r="J53" s="281"/>
      <c r="K53" s="281"/>
      <c r="L53" s="281"/>
      <c r="M53" s="281"/>
      <c r="N53" s="281"/>
      <c r="O53" s="281"/>
      <c r="P53" s="281"/>
      <c r="Q53" s="281"/>
    </row>
    <row r="54" spans="1:17" s="282" customFormat="1">
      <c r="A54" s="247"/>
      <c r="B54" s="247"/>
      <c r="C54" s="247"/>
      <c r="E54" s="253" t="s">
        <v>136</v>
      </c>
      <c r="F54" s="254">
        <f>+F36</f>
        <v>521718235.55000013</v>
      </c>
      <c r="G54" s="296">
        <f>+G36</f>
        <v>-15630920.684548697</v>
      </c>
      <c r="H54" s="297">
        <f>+H36</f>
        <v>506087314.86545134</v>
      </c>
      <c r="I54" s="281"/>
      <c r="J54" s="281"/>
      <c r="K54" s="281"/>
      <c r="L54" s="281"/>
      <c r="M54" s="281"/>
      <c r="N54" s="281"/>
      <c r="O54" s="281"/>
      <c r="P54" s="281"/>
      <c r="Q54" s="281"/>
    </row>
    <row r="55" spans="1:17" s="282" customFormat="1">
      <c r="A55" s="247"/>
      <c r="B55" s="247"/>
      <c r="C55" s="247"/>
      <c r="E55" s="283" t="s">
        <v>137</v>
      </c>
      <c r="F55" s="266">
        <f>+F49</f>
        <v>60254173.050000004</v>
      </c>
      <c r="G55" s="296">
        <f>+G49</f>
        <v>5623114.0099999998</v>
      </c>
      <c r="H55" s="297">
        <f>+H49</f>
        <v>65877287.060000002</v>
      </c>
      <c r="I55" s="281"/>
      <c r="J55" s="281"/>
      <c r="K55" s="281"/>
      <c r="L55" s="281"/>
      <c r="M55" s="281"/>
      <c r="N55" s="281"/>
      <c r="O55" s="281"/>
      <c r="P55" s="281"/>
      <c r="Q55" s="281"/>
    </row>
    <row r="56" spans="1:17" ht="13.8" thickBot="1">
      <c r="A56" s="247"/>
      <c r="B56" s="247"/>
      <c r="C56" s="247"/>
      <c r="D56" s="205"/>
      <c r="E56" s="300" t="s">
        <v>20</v>
      </c>
      <c r="F56" s="301">
        <f>SUM(F52:F55)</f>
        <v>608383234.98000014</v>
      </c>
      <c r="G56" s="301">
        <f>SUM(G52:G55)</f>
        <v>-15830419.374548698</v>
      </c>
      <c r="H56" s="302">
        <f>SUM(H52:H55)</f>
        <v>592552815.60545135</v>
      </c>
      <c r="I56" s="281"/>
      <c r="J56" s="281"/>
      <c r="K56" s="281"/>
      <c r="L56" s="281"/>
      <c r="M56" s="281"/>
      <c r="N56" s="281"/>
      <c r="O56" s="281"/>
      <c r="P56" s="281"/>
      <c r="Q56" s="281"/>
    </row>
    <row r="57" spans="1:17" ht="13.8" thickTop="1">
      <c r="A57" s="247"/>
      <c r="B57" s="247"/>
      <c r="C57" s="247"/>
      <c r="D57" s="182"/>
      <c r="E57" s="267"/>
      <c r="F57" s="296"/>
      <c r="G57" s="296"/>
      <c r="H57" s="297"/>
      <c r="I57" s="281"/>
      <c r="J57" s="281"/>
      <c r="K57" s="281"/>
      <c r="L57" s="281"/>
      <c r="M57" s="281"/>
      <c r="N57" s="281"/>
      <c r="O57" s="281"/>
      <c r="P57" s="281"/>
      <c r="Q57" s="281"/>
    </row>
    <row r="58" spans="1:17" s="307" customFormat="1">
      <c r="A58" s="321"/>
      <c r="B58" s="321"/>
      <c r="C58" s="321"/>
      <c r="E58" s="304" t="s">
        <v>276</v>
      </c>
      <c r="F58" s="305"/>
      <c r="G58" s="305"/>
      <c r="H58" s="306"/>
      <c r="I58" s="281"/>
      <c r="J58" s="281"/>
      <c r="K58" s="281"/>
      <c r="L58" s="281"/>
      <c r="M58" s="281"/>
      <c r="N58" s="281"/>
      <c r="O58" s="281"/>
      <c r="P58" s="281"/>
      <c r="Q58" s="281"/>
    </row>
    <row r="59" spans="1:17">
      <c r="A59" s="247"/>
      <c r="B59" s="247"/>
      <c r="C59" s="247"/>
      <c r="D59" s="205"/>
      <c r="E59" s="267" t="s">
        <v>277</v>
      </c>
      <c r="F59" s="289"/>
      <c r="G59" s="279"/>
      <c r="H59" s="280"/>
      <c r="I59" s="281"/>
      <c r="J59" s="281"/>
      <c r="K59" s="281"/>
      <c r="L59" s="281"/>
      <c r="M59" s="281"/>
      <c r="N59" s="281"/>
      <c r="O59" s="281"/>
      <c r="P59" s="281"/>
      <c r="Q59" s="281"/>
    </row>
    <row r="60" spans="1:17">
      <c r="A60" s="247" t="s">
        <v>767</v>
      </c>
      <c r="B60" s="247"/>
      <c r="C60" s="247"/>
      <c r="D60" s="205">
        <v>302</v>
      </c>
      <c r="E60" s="283" t="s">
        <v>278</v>
      </c>
      <c r="F60" s="373">
        <f>VLOOKUP(A60,'RB-UNADJ-Plant'!$A$12:$E$107,5,FALSE)</f>
        <v>105353.3</v>
      </c>
      <c r="G60" s="281">
        <f>SUM(I60:R60)</f>
        <v>-24701.453275075841</v>
      </c>
      <c r="H60" s="284">
        <f>F60+G60</f>
        <v>80651.846724924166</v>
      </c>
      <c r="I60" s="281"/>
      <c r="J60" s="281"/>
      <c r="K60" s="281">
        <v>-7520.4532750758399</v>
      </c>
      <c r="L60" s="281"/>
      <c r="M60" s="281"/>
      <c r="N60" s="281"/>
      <c r="O60" s="281"/>
      <c r="P60" s="281"/>
      <c r="Q60" s="281">
        <v>-17181</v>
      </c>
    </row>
    <row r="61" spans="1:17">
      <c r="A61" s="247" t="s">
        <v>768</v>
      </c>
      <c r="B61" s="247"/>
      <c r="C61" s="247"/>
      <c r="D61" s="205">
        <v>303</v>
      </c>
      <c r="E61" s="283" t="s">
        <v>1543</v>
      </c>
      <c r="F61" s="373">
        <f>VLOOKUP(A61,'RB-UNADJ-Plant'!$A$12:$E$107,5,FALSE)</f>
        <v>25662.99</v>
      </c>
      <c r="G61" s="281">
        <f>SUM(I61:R61)</f>
        <v>272207</v>
      </c>
      <c r="H61" s="284">
        <f>F61+G61</f>
        <v>297869.99</v>
      </c>
      <c r="I61" s="281"/>
      <c r="J61" s="281"/>
      <c r="K61" s="281"/>
      <c r="L61" s="281"/>
      <c r="M61" s="281"/>
      <c r="N61" s="281"/>
      <c r="O61" s="281"/>
      <c r="P61" s="281">
        <v>272207</v>
      </c>
      <c r="Q61" s="281"/>
    </row>
    <row r="62" spans="1:17">
      <c r="A62" s="247"/>
      <c r="B62" s="247"/>
      <c r="C62" s="247"/>
      <c r="D62" s="221"/>
      <c r="E62" s="285"/>
      <c r="F62" s="484"/>
      <c r="G62" s="281">
        <f>SUM(I62:R62)</f>
        <v>0</v>
      </c>
      <c r="H62" s="284">
        <f>F62+G62</f>
        <v>0</v>
      </c>
      <c r="I62" s="281"/>
      <c r="J62" s="281"/>
      <c r="K62" s="281"/>
      <c r="L62" s="281"/>
      <c r="M62" s="281"/>
      <c r="N62" s="281"/>
      <c r="O62" s="281"/>
      <c r="P62" s="281"/>
      <c r="Q62" s="281"/>
    </row>
    <row r="63" spans="1:17">
      <c r="A63" s="320"/>
      <c r="B63" s="320"/>
      <c r="C63" s="320"/>
      <c r="D63" s="253"/>
      <c r="E63" s="286" t="s">
        <v>280</v>
      </c>
      <c r="F63" s="483">
        <f>SUM(F60:F62)</f>
        <v>131016.29000000001</v>
      </c>
      <c r="G63" s="287">
        <f>SUM(G60:G62)</f>
        <v>247505.54672492415</v>
      </c>
      <c r="H63" s="288">
        <f>SUM(H60:H62)</f>
        <v>378521.83672492416</v>
      </c>
      <c r="I63" s="281"/>
      <c r="J63" s="281"/>
      <c r="K63" s="281"/>
      <c r="L63" s="281"/>
      <c r="M63" s="281"/>
      <c r="N63" s="281"/>
      <c r="O63" s="281"/>
      <c r="P63" s="281"/>
      <c r="Q63" s="281"/>
    </row>
    <row r="64" spans="1:17">
      <c r="H64" s="280"/>
    </row>
    <row r="65" spans="1:17">
      <c r="A65" s="247"/>
      <c r="B65" s="247"/>
      <c r="C65" s="247"/>
      <c r="D65" s="253"/>
      <c r="E65" s="267" t="s">
        <v>281</v>
      </c>
      <c r="F65" s="293"/>
      <c r="G65" s="293"/>
      <c r="H65" s="294"/>
      <c r="I65" s="281"/>
      <c r="J65" s="281"/>
      <c r="K65" s="281"/>
      <c r="L65" s="281"/>
      <c r="M65" s="281"/>
      <c r="N65" s="281"/>
      <c r="O65" s="281"/>
      <c r="P65" s="281"/>
      <c r="Q65" s="281"/>
    </row>
    <row r="66" spans="1:17">
      <c r="A66" s="247" t="s">
        <v>769</v>
      </c>
      <c r="B66" s="247"/>
      <c r="C66" s="247"/>
      <c r="D66" s="205">
        <v>365</v>
      </c>
      <c r="E66" s="283" t="s">
        <v>103</v>
      </c>
      <c r="F66" s="373">
        <f>VLOOKUP(A66,'RB-UNADJ-Plant'!$A$12:$E$107,5,FALSE)</f>
        <v>70348.5</v>
      </c>
      <c r="G66" s="281">
        <f t="shared" ref="G66:G71" si="11">SUM(I66:R66)</f>
        <v>-23922.467421815301</v>
      </c>
      <c r="H66" s="284">
        <f t="shared" ref="H66:H71" si="12">F66+G66</f>
        <v>46426.032578184699</v>
      </c>
      <c r="I66" s="281"/>
      <c r="J66" s="281">
        <v>-5039</v>
      </c>
      <c r="K66" s="281">
        <v>-14572.5074218153</v>
      </c>
      <c r="L66" s="281"/>
      <c r="M66" s="281"/>
      <c r="N66" s="281"/>
      <c r="O66" s="281">
        <v>-4310.96</v>
      </c>
      <c r="P66" s="281"/>
      <c r="Q66" s="281"/>
    </row>
    <row r="67" spans="1:17">
      <c r="A67" s="247" t="s">
        <v>770</v>
      </c>
      <c r="B67" s="247"/>
      <c r="C67" s="247"/>
      <c r="D67" s="205">
        <v>366</v>
      </c>
      <c r="E67" s="283" t="s">
        <v>104</v>
      </c>
      <c r="F67" s="373">
        <f>VLOOKUP(A67,'RB-UNADJ-Plant'!$A$12:$E$107,5,FALSE)</f>
        <v>10067.08</v>
      </c>
      <c r="G67" s="281">
        <f t="shared" si="11"/>
        <v>-1971.6805333033201</v>
      </c>
      <c r="H67" s="284">
        <f t="shared" si="12"/>
        <v>8095.3994666966801</v>
      </c>
      <c r="I67" s="281"/>
      <c r="J67" s="281">
        <v>-721</v>
      </c>
      <c r="K67" s="281">
        <v>-1250.6805333033201</v>
      </c>
      <c r="L67" s="281"/>
      <c r="M67" s="281"/>
      <c r="N67" s="281"/>
      <c r="O67" s="281"/>
      <c r="P67" s="281"/>
      <c r="Q67" s="281"/>
    </row>
    <row r="68" spans="1:17">
      <c r="A68" s="247" t="s">
        <v>771</v>
      </c>
      <c r="B68" s="247"/>
      <c r="C68" s="247"/>
      <c r="D68" s="205">
        <v>367</v>
      </c>
      <c r="E68" s="283" t="s">
        <v>110</v>
      </c>
      <c r="F68" s="373">
        <f>VLOOKUP(A68,'RB-UNADJ-Plant'!$A$12:$E$107,5,FALSE)</f>
        <v>12600753.33</v>
      </c>
      <c r="G68" s="281">
        <f t="shared" si="11"/>
        <v>-3758183.8297664998</v>
      </c>
      <c r="H68" s="284">
        <f t="shared" si="12"/>
        <v>8842569.5002335012</v>
      </c>
      <c r="I68" s="281"/>
      <c r="J68" s="281">
        <v>-902582</v>
      </c>
      <c r="K68" s="281">
        <v>-1371192.6297665001</v>
      </c>
      <c r="L68" s="281"/>
      <c r="M68" s="281"/>
      <c r="N68" s="281"/>
      <c r="O68" s="281">
        <v>-1484409.2</v>
      </c>
      <c r="P68" s="281"/>
      <c r="Q68" s="281"/>
    </row>
    <row r="69" spans="1:17">
      <c r="A69" s="247" t="s">
        <v>772</v>
      </c>
      <c r="B69" s="247"/>
      <c r="C69" s="247"/>
      <c r="D69" s="205">
        <v>369</v>
      </c>
      <c r="E69" s="283" t="s">
        <v>1544</v>
      </c>
      <c r="F69" s="373">
        <f>VLOOKUP(A69,'RB-UNADJ-Plant'!$A$12:$E$107,5,FALSE)</f>
        <v>2173130.7000000002</v>
      </c>
      <c r="G69" s="281">
        <f t="shared" si="11"/>
        <v>-1389725.1647615379</v>
      </c>
      <c r="H69" s="284">
        <f t="shared" si="12"/>
        <v>783405.53523846227</v>
      </c>
      <c r="I69" s="281"/>
      <c r="J69" s="281">
        <v>-155660</v>
      </c>
      <c r="K69" s="281">
        <v>-356961.97476153797</v>
      </c>
      <c r="L69" s="281"/>
      <c r="M69" s="281"/>
      <c r="N69" s="281"/>
      <c r="O69" s="281">
        <v>-877103.19</v>
      </c>
      <c r="P69" s="281"/>
      <c r="Q69" s="281"/>
    </row>
    <row r="70" spans="1:17">
      <c r="A70" s="247" t="s">
        <v>773</v>
      </c>
      <c r="B70" s="247"/>
      <c r="C70" s="247"/>
      <c r="D70" s="205">
        <v>371</v>
      </c>
      <c r="E70" s="283" t="s">
        <v>107</v>
      </c>
      <c r="F70" s="373">
        <f>VLOOKUP(A70,'RB-UNADJ-Plant'!$A$12:$E$107,5,FALSE)</f>
        <v>177972.80000000002</v>
      </c>
      <c r="G70" s="281">
        <f t="shared" si="11"/>
        <v>-168721.2137468571</v>
      </c>
      <c r="H70" s="284">
        <f t="shared" si="12"/>
        <v>9251.5862531429157</v>
      </c>
      <c r="I70" s="281"/>
      <c r="J70" s="281">
        <v>0</v>
      </c>
      <c r="K70" s="281">
        <v>-11351.6537468571</v>
      </c>
      <c r="L70" s="281"/>
      <c r="M70" s="281"/>
      <c r="N70" s="281"/>
      <c r="O70" s="281">
        <v>-157369.56</v>
      </c>
      <c r="P70" s="281"/>
      <c r="Q70" s="281"/>
    </row>
    <row r="71" spans="1:17">
      <c r="A71" s="247"/>
      <c r="B71" s="247"/>
      <c r="C71" s="247"/>
      <c r="D71" s="221"/>
      <c r="E71" s="285"/>
      <c r="F71" s="484"/>
      <c r="G71" s="281">
        <f t="shared" si="11"/>
        <v>0</v>
      </c>
      <c r="H71" s="284">
        <f t="shared" si="12"/>
        <v>0</v>
      </c>
      <c r="I71" s="281"/>
      <c r="J71" s="281"/>
      <c r="K71" s="281"/>
      <c r="L71" s="281"/>
      <c r="M71" s="281"/>
      <c r="N71" s="281"/>
      <c r="O71" s="281"/>
      <c r="P71" s="281"/>
      <c r="Q71" s="281"/>
    </row>
    <row r="72" spans="1:17" ht="13.8" thickBot="1">
      <c r="A72" s="247"/>
      <c r="B72" s="247"/>
      <c r="C72" s="247"/>
      <c r="D72" s="253"/>
      <c r="E72" s="300" t="s">
        <v>283</v>
      </c>
      <c r="F72" s="301">
        <f>SUM(F66:F71)</f>
        <v>15032272.41</v>
      </c>
      <c r="G72" s="301">
        <f>SUM(G66:G71)</f>
        <v>-5342524.3562300131</v>
      </c>
      <c r="H72" s="302">
        <f>SUM(H66:H71)</f>
        <v>9689748.0537699871</v>
      </c>
      <c r="I72" s="281"/>
      <c r="J72" s="281"/>
      <c r="K72" s="281"/>
      <c r="L72" s="281"/>
      <c r="M72" s="281"/>
      <c r="N72" s="281"/>
      <c r="O72" s="281"/>
      <c r="P72" s="281"/>
      <c r="Q72" s="281"/>
    </row>
    <row r="73" spans="1:17" ht="13.8" thickTop="1">
      <c r="A73" s="247"/>
      <c r="B73" s="247"/>
      <c r="C73" s="247"/>
      <c r="D73" s="253"/>
      <c r="E73" s="267"/>
      <c r="F73" s="296"/>
      <c r="G73" s="296"/>
      <c r="H73" s="297"/>
      <c r="I73" s="281"/>
      <c r="J73" s="281"/>
      <c r="K73" s="281"/>
      <c r="L73" s="281"/>
      <c r="M73" s="281"/>
      <c r="N73" s="281"/>
      <c r="O73" s="281"/>
      <c r="P73" s="281"/>
      <c r="Q73" s="281"/>
    </row>
    <row r="74" spans="1:17">
      <c r="A74" s="247"/>
      <c r="B74" s="247"/>
      <c r="C74" s="247"/>
      <c r="D74" s="253"/>
      <c r="E74" s="267" t="s">
        <v>284</v>
      </c>
      <c r="F74" s="289"/>
      <c r="G74" s="289"/>
      <c r="H74" s="280"/>
      <c r="I74" s="281"/>
      <c r="J74" s="281"/>
      <c r="K74" s="281"/>
      <c r="L74" s="281"/>
      <c r="M74" s="281"/>
      <c r="N74" s="281"/>
      <c r="O74" s="281"/>
      <c r="P74" s="281"/>
      <c r="Q74" s="281"/>
    </row>
    <row r="75" spans="1:17">
      <c r="A75" s="247" t="s">
        <v>1744</v>
      </c>
      <c r="B75" s="247"/>
      <c r="C75" s="247"/>
      <c r="D75" s="205">
        <v>374.1</v>
      </c>
      <c r="E75" s="283" t="s">
        <v>103</v>
      </c>
      <c r="F75" s="373">
        <f>VLOOKUP(A75,'RB-UNADJ-Plant'!$A$12:$E$107,5,FALSE)</f>
        <v>-55240.160000000003</v>
      </c>
      <c r="G75" s="281">
        <f t="shared" ref="G75:G87" si="13">SUM(I75:R75)</f>
        <v>-37096.805428911197</v>
      </c>
      <c r="H75" s="284">
        <f>F75+G75</f>
        <v>-92336.965428911208</v>
      </c>
      <c r="I75" s="281"/>
      <c r="J75" s="281">
        <v>3957</v>
      </c>
      <c r="K75" s="281">
        <v>-41209.805428911197</v>
      </c>
      <c r="L75" s="281"/>
      <c r="M75" s="281"/>
      <c r="N75" s="281"/>
      <c r="O75" s="281"/>
      <c r="P75" s="281">
        <v>156</v>
      </c>
      <c r="Q75" s="281"/>
    </row>
    <row r="76" spans="1:17">
      <c r="A76" s="247" t="s">
        <v>774</v>
      </c>
      <c r="B76" s="247"/>
      <c r="C76" s="247"/>
      <c r="D76" s="205">
        <f>+D75+1</f>
        <v>375.1</v>
      </c>
      <c r="E76" s="283" t="s">
        <v>104</v>
      </c>
      <c r="F76" s="373">
        <f>VLOOKUP(A76,'RB-UNADJ-Plant'!$A$12:$E$107,5,FALSE)</f>
        <v>23984.210000000003</v>
      </c>
      <c r="G76" s="281">
        <f t="shared" si="13"/>
        <v>-1385.87659563492</v>
      </c>
      <c r="H76" s="284">
        <f t="shared" ref="H76:H87" si="14">F76+G76</f>
        <v>22598.333404365083</v>
      </c>
      <c r="I76" s="281"/>
      <c r="J76" s="281">
        <v>-1718</v>
      </c>
      <c r="K76" s="281">
        <v>-162.87659563491999</v>
      </c>
      <c r="L76" s="281"/>
      <c r="M76" s="281"/>
      <c r="N76" s="281"/>
      <c r="O76" s="281"/>
      <c r="P76" s="281">
        <v>495</v>
      </c>
      <c r="Q76" s="281"/>
    </row>
    <row r="77" spans="1:17">
      <c r="A77" s="247" t="s">
        <v>775</v>
      </c>
      <c r="B77" s="247"/>
      <c r="C77" s="247"/>
      <c r="D77" s="205">
        <f>+D76+1</f>
        <v>376.1</v>
      </c>
      <c r="E77" s="283" t="s">
        <v>110</v>
      </c>
      <c r="F77" s="373">
        <f>VLOOKUP(A77,'RB-UNADJ-Plant'!$A$12:$E$107,5,FALSE)</f>
        <v>129969173.11</v>
      </c>
      <c r="G77" s="281">
        <f t="shared" si="13"/>
        <v>-28183536.090206578</v>
      </c>
      <c r="H77" s="284">
        <f t="shared" si="14"/>
        <v>101785637.01979342</v>
      </c>
      <c r="I77" s="281"/>
      <c r="J77" s="281">
        <v>-9309585</v>
      </c>
      <c r="K77" s="281">
        <v>-13237428.0015384</v>
      </c>
      <c r="L77" s="281">
        <v>265</v>
      </c>
      <c r="M77" s="281"/>
      <c r="N77" s="281">
        <v>-1184910.0886681804</v>
      </c>
      <c r="O77" s="281"/>
      <c r="P77" s="281">
        <v>196999</v>
      </c>
      <c r="Q77" s="281">
        <v>-4648877</v>
      </c>
    </row>
    <row r="78" spans="1:17">
      <c r="A78" s="247" t="s">
        <v>776</v>
      </c>
      <c r="B78" s="247"/>
      <c r="C78" s="247"/>
      <c r="D78" s="205">
        <v>378</v>
      </c>
      <c r="E78" s="283" t="s">
        <v>1545</v>
      </c>
      <c r="F78" s="373">
        <f>VLOOKUP(A78,'RB-UNADJ-Plant'!$A$12:$E$107,5,FALSE)</f>
        <v>2688149.48</v>
      </c>
      <c r="G78" s="281">
        <f t="shared" si="13"/>
        <v>-403978.31932047603</v>
      </c>
      <c r="H78" s="284">
        <f t="shared" si="14"/>
        <v>2284171.1606795238</v>
      </c>
      <c r="I78" s="281"/>
      <c r="J78" s="281">
        <v>-192550</v>
      </c>
      <c r="K78" s="281">
        <v>-106496.189320476</v>
      </c>
      <c r="L78" s="281">
        <v>35</v>
      </c>
      <c r="M78" s="281"/>
      <c r="N78" s="281"/>
      <c r="O78" s="281"/>
      <c r="P78" s="281">
        <v>4802</v>
      </c>
      <c r="Q78" s="281">
        <v>-109769.13</v>
      </c>
    </row>
    <row r="79" spans="1:17">
      <c r="A79" s="247" t="s">
        <v>777</v>
      </c>
      <c r="B79" s="247"/>
      <c r="C79" s="247"/>
      <c r="D79" s="205">
        <f t="shared" ref="D79:D84" si="15">+D78+1</f>
        <v>379</v>
      </c>
      <c r="E79" s="283" t="s">
        <v>1546</v>
      </c>
      <c r="F79" s="373">
        <f>VLOOKUP(A79,'RB-UNADJ-Plant'!$A$12:$E$107,5,FALSE)</f>
        <v>2231031.83</v>
      </c>
      <c r="G79" s="281">
        <f t="shared" si="13"/>
        <v>-729893.65426303283</v>
      </c>
      <c r="H79" s="284">
        <f t="shared" si="14"/>
        <v>1501138.1757369672</v>
      </c>
      <c r="I79" s="281"/>
      <c r="J79" s="281">
        <v>-159807</v>
      </c>
      <c r="K79" s="281">
        <v>-147104.60152310299</v>
      </c>
      <c r="L79" s="281"/>
      <c r="M79" s="281"/>
      <c r="N79" s="281">
        <v>-294249.84273992991</v>
      </c>
      <c r="O79" s="281"/>
      <c r="P79" s="281">
        <v>4571</v>
      </c>
      <c r="Q79" s="281">
        <v>-133303.21</v>
      </c>
    </row>
    <row r="80" spans="1:17">
      <c r="A80" s="247" t="s">
        <v>778</v>
      </c>
      <c r="B80" s="247"/>
      <c r="C80" s="247"/>
      <c r="D80" s="205">
        <f t="shared" si="15"/>
        <v>380</v>
      </c>
      <c r="E80" s="283" t="s">
        <v>113</v>
      </c>
      <c r="F80" s="373">
        <f>VLOOKUP(A80,'RB-UNADJ-Plant'!$A$12:$E$107,5,FALSE)</f>
        <v>80140287.689999998</v>
      </c>
      <c r="G80" s="281">
        <f t="shared" si="13"/>
        <v>-5944158.3936962802</v>
      </c>
      <c r="H80" s="284">
        <f t="shared" si="14"/>
        <v>74196129.296303719</v>
      </c>
      <c r="I80" s="281"/>
      <c r="J80" s="281"/>
      <c r="K80" s="281">
        <v>-4380506.0936962804</v>
      </c>
      <c r="L80" s="281">
        <v>9</v>
      </c>
      <c r="M80" s="281">
        <v>-14310</v>
      </c>
      <c r="N80" s="281"/>
      <c r="O80" s="281"/>
      <c r="P80" s="281">
        <v>136803</v>
      </c>
      <c r="Q80" s="281">
        <v>-1686154.3</v>
      </c>
    </row>
    <row r="81" spans="1:17">
      <c r="A81" s="247" t="s">
        <v>779</v>
      </c>
      <c r="B81" s="247"/>
      <c r="C81" s="247"/>
      <c r="D81" s="205">
        <f t="shared" si="15"/>
        <v>381</v>
      </c>
      <c r="E81" s="283" t="s">
        <v>114</v>
      </c>
      <c r="F81" s="373">
        <f>VLOOKUP(A81,'RB-UNADJ-Plant'!$A$12:$E$107,5,FALSE)</f>
        <v>9067765.3300000001</v>
      </c>
      <c r="G81" s="281">
        <f t="shared" si="13"/>
        <v>-1111975.570439674</v>
      </c>
      <c r="H81" s="284">
        <f t="shared" si="14"/>
        <v>7955789.7595603261</v>
      </c>
      <c r="I81" s="281"/>
      <c r="J81" s="281"/>
      <c r="K81" s="281">
        <v>-762904.84043967398</v>
      </c>
      <c r="L81" s="281"/>
      <c r="M81" s="281"/>
      <c r="N81" s="281"/>
      <c r="O81" s="281"/>
      <c r="P81" s="281">
        <v>44071</v>
      </c>
      <c r="Q81" s="281">
        <v>-393141.73</v>
      </c>
    </row>
    <row r="82" spans="1:17">
      <c r="A82" s="247" t="s">
        <v>780</v>
      </c>
      <c r="B82" s="247"/>
      <c r="C82" s="247"/>
      <c r="D82" s="205">
        <f t="shared" si="15"/>
        <v>382</v>
      </c>
      <c r="E82" s="283" t="s">
        <v>115</v>
      </c>
      <c r="F82" s="373">
        <f>VLOOKUP(A82,'RB-UNADJ-Plant'!$A$12:$E$107,5,FALSE)</f>
        <v>2648967.31</v>
      </c>
      <c r="G82" s="281">
        <f t="shared" si="13"/>
        <v>-446299.04756805598</v>
      </c>
      <c r="H82" s="284">
        <f t="shared" si="14"/>
        <v>2202668.2624319443</v>
      </c>
      <c r="I82" s="281"/>
      <c r="J82" s="281"/>
      <c r="K82" s="281">
        <v>-460674.79756805598</v>
      </c>
      <c r="L82" s="281"/>
      <c r="M82" s="281"/>
      <c r="N82" s="281"/>
      <c r="O82" s="281"/>
      <c r="P82" s="281">
        <v>17402</v>
      </c>
      <c r="Q82" s="281">
        <v>-3026.25</v>
      </c>
    </row>
    <row r="83" spans="1:17">
      <c r="A83" s="247" t="s">
        <v>781</v>
      </c>
      <c r="B83" s="247"/>
      <c r="C83" s="247"/>
      <c r="D83" s="205">
        <f t="shared" si="15"/>
        <v>383</v>
      </c>
      <c r="E83" s="283" t="s">
        <v>116</v>
      </c>
      <c r="F83" s="373">
        <f>VLOOKUP(A83,'RB-UNADJ-Plant'!$A$12:$E$107,5,FALSE)</f>
        <v>2797175.42</v>
      </c>
      <c r="G83" s="281">
        <f t="shared" si="13"/>
        <v>-36961.166251646006</v>
      </c>
      <c r="H83" s="284">
        <f t="shared" si="14"/>
        <v>2760214.253748354</v>
      </c>
      <c r="I83" s="281"/>
      <c r="J83" s="281"/>
      <c r="K83" s="281">
        <v>-100648.616251646</v>
      </c>
      <c r="L83" s="281"/>
      <c r="M83" s="281"/>
      <c r="N83" s="281"/>
      <c r="O83" s="281"/>
      <c r="P83" s="281">
        <v>4274</v>
      </c>
      <c r="Q83" s="281">
        <v>59413.45</v>
      </c>
    </row>
    <row r="84" spans="1:17">
      <c r="A84" s="247" t="s">
        <v>782</v>
      </c>
      <c r="B84" s="247"/>
      <c r="C84" s="247"/>
      <c r="D84" s="205">
        <f t="shared" si="15"/>
        <v>384</v>
      </c>
      <c r="E84" s="283" t="s">
        <v>447</v>
      </c>
      <c r="F84" s="373">
        <f>VLOOKUP(A84,'RB-UNADJ-Plant'!$A$12:$E$107,5,FALSE)</f>
        <v>1639085.8699999999</v>
      </c>
      <c r="G84" s="281">
        <f t="shared" si="13"/>
        <v>-36775.144486798497</v>
      </c>
      <c r="H84" s="284">
        <f t="shared" si="14"/>
        <v>1602310.7255132014</v>
      </c>
      <c r="I84" s="281"/>
      <c r="J84" s="281"/>
      <c r="K84" s="281">
        <v>-42246.144486798497</v>
      </c>
      <c r="L84" s="281"/>
      <c r="M84" s="281"/>
      <c r="N84" s="281"/>
      <c r="O84" s="281"/>
      <c r="P84" s="281">
        <v>5471</v>
      </c>
      <c r="Q84" s="281"/>
    </row>
    <row r="85" spans="1:17">
      <c r="A85" s="247" t="s">
        <v>783</v>
      </c>
      <c r="B85" s="247"/>
      <c r="C85" s="247"/>
      <c r="D85" s="205">
        <v>385</v>
      </c>
      <c r="E85" s="283" t="s">
        <v>1547</v>
      </c>
      <c r="F85" s="373">
        <f>VLOOKUP(A85,'RB-UNADJ-Plant'!$A$12:$E$107,5,FALSE)</f>
        <v>1288853.68</v>
      </c>
      <c r="G85" s="281">
        <f t="shared" si="13"/>
        <v>-202815.86162614921</v>
      </c>
      <c r="H85" s="284">
        <f t="shared" si="14"/>
        <v>1086037.8183738508</v>
      </c>
      <c r="I85" s="281"/>
      <c r="J85" s="281"/>
      <c r="K85" s="281">
        <v>-69161.931626149206</v>
      </c>
      <c r="L85" s="281"/>
      <c r="M85" s="281"/>
      <c r="N85" s="281"/>
      <c r="O85" s="281">
        <v>-7678.93</v>
      </c>
      <c r="P85" s="281">
        <v>2170</v>
      </c>
      <c r="Q85" s="281">
        <v>-128145</v>
      </c>
    </row>
    <row r="86" spans="1:17">
      <c r="A86" s="247" t="s">
        <v>784</v>
      </c>
      <c r="B86" s="247"/>
      <c r="C86" s="247"/>
      <c r="D86" s="205">
        <v>387</v>
      </c>
      <c r="E86" s="283" t="s">
        <v>107</v>
      </c>
      <c r="F86" s="373">
        <f>VLOOKUP(A86,'RB-UNADJ-Plant'!$A$12:$E$107,5,FALSE)</f>
        <v>1764290.25</v>
      </c>
      <c r="G86" s="281">
        <f t="shared" si="13"/>
        <v>-320882.67035628879</v>
      </c>
      <c r="H86" s="284">
        <f t="shared" si="14"/>
        <v>1443407.5796437112</v>
      </c>
      <c r="I86" s="281"/>
      <c r="J86" s="281">
        <v>-126375</v>
      </c>
      <c r="K86" s="281">
        <v>-64978.6703562888</v>
      </c>
      <c r="L86" s="281"/>
      <c r="M86" s="281"/>
      <c r="N86" s="281"/>
      <c r="O86" s="281"/>
      <c r="P86" s="281">
        <v>-11</v>
      </c>
      <c r="Q86" s="281">
        <v>-129518</v>
      </c>
    </row>
    <row r="87" spans="1:17">
      <c r="A87" s="247"/>
      <c r="B87" s="247" t="s">
        <v>258</v>
      </c>
      <c r="C87" s="247" t="s">
        <v>259</v>
      </c>
      <c r="D87" s="221"/>
      <c r="E87" s="285"/>
      <c r="F87" s="484"/>
      <c r="G87" s="281">
        <f t="shared" si="13"/>
        <v>0</v>
      </c>
      <c r="H87" s="284">
        <f t="shared" si="14"/>
        <v>0</v>
      </c>
      <c r="I87" s="281"/>
      <c r="J87" s="281"/>
      <c r="K87" s="281"/>
      <c r="L87" s="281"/>
      <c r="M87" s="281"/>
      <c r="N87" s="281"/>
      <c r="O87" s="281"/>
      <c r="P87" s="281"/>
      <c r="Q87" s="281"/>
    </row>
    <row r="88" spans="1:17">
      <c r="A88" s="247"/>
      <c r="B88" s="247"/>
      <c r="C88" s="247"/>
      <c r="D88" s="253"/>
      <c r="E88" s="286" t="s">
        <v>291</v>
      </c>
      <c r="F88" s="287">
        <f>SUM(F75:F87)</f>
        <v>234203524.02000001</v>
      </c>
      <c r="G88" s="287">
        <f>SUM(G75:G87)</f>
        <v>-37455758.600239523</v>
      </c>
      <c r="H88" s="288">
        <f>SUM(H75:H87)</f>
        <v>196747765.41976047</v>
      </c>
      <c r="I88" s="281"/>
      <c r="J88" s="281"/>
      <c r="K88" s="281"/>
      <c r="L88" s="281"/>
      <c r="M88" s="281"/>
      <c r="N88" s="281"/>
      <c r="O88" s="281"/>
      <c r="P88" s="281"/>
      <c r="Q88" s="281"/>
    </row>
    <row r="89" spans="1:17">
      <c r="A89" s="247"/>
      <c r="B89" s="247"/>
      <c r="C89" s="247"/>
      <c r="D89" s="253"/>
      <c r="E89" s="290"/>
      <c r="F89" s="291"/>
      <c r="G89" s="291"/>
      <c r="H89" s="292"/>
      <c r="I89" s="281"/>
      <c r="J89" s="281"/>
      <c r="K89" s="281"/>
      <c r="L89" s="281"/>
      <c r="M89" s="281"/>
      <c r="N89" s="281"/>
      <c r="O89" s="281"/>
      <c r="P89" s="281"/>
      <c r="Q89" s="281"/>
    </row>
    <row r="90" spans="1:17">
      <c r="A90" s="247"/>
      <c r="B90" s="247"/>
      <c r="C90" s="247"/>
      <c r="D90" s="253"/>
      <c r="E90" s="267" t="s">
        <v>292</v>
      </c>
      <c r="F90" s="289"/>
      <c r="G90" s="289"/>
      <c r="H90" s="280"/>
      <c r="I90" s="281"/>
      <c r="J90" s="281"/>
      <c r="K90" s="281"/>
      <c r="L90" s="281"/>
      <c r="M90" s="281"/>
      <c r="N90" s="281"/>
      <c r="O90" s="281"/>
      <c r="P90" s="281"/>
      <c r="Q90" s="281"/>
    </row>
    <row r="91" spans="1:17">
      <c r="A91" s="247" t="s">
        <v>785</v>
      </c>
      <c r="B91" s="247"/>
      <c r="C91" s="247"/>
      <c r="D91" s="205">
        <v>389</v>
      </c>
      <c r="E91" s="283" t="s">
        <v>282</v>
      </c>
      <c r="F91" s="373">
        <f>VLOOKUP(A91,'RB-UNADJ-Plant'!$A$12:$E$107,5,FALSE)</f>
        <v>171463.78000000003</v>
      </c>
      <c r="G91" s="281">
        <f t="shared" ref="G91:G101" si="16">SUM(I91:R91)</f>
        <v>-117655.4437388199</v>
      </c>
      <c r="H91" s="284">
        <f t="shared" ref="H91:H101" si="17">F91+G91</f>
        <v>53808.336261180128</v>
      </c>
      <c r="I91" s="281"/>
      <c r="J91" s="281"/>
      <c r="K91" s="281">
        <v>-16641.453738819899</v>
      </c>
      <c r="L91" s="281"/>
      <c r="M91" s="281"/>
      <c r="N91" s="281"/>
      <c r="O91" s="281"/>
      <c r="P91" s="281"/>
      <c r="Q91" s="281">
        <v>-101013.99</v>
      </c>
    </row>
    <row r="92" spans="1:17">
      <c r="A92" s="247" t="s">
        <v>786</v>
      </c>
      <c r="B92" s="247"/>
      <c r="C92" s="247"/>
      <c r="D92" s="205">
        <v>390</v>
      </c>
      <c r="E92" s="283" t="s">
        <v>104</v>
      </c>
      <c r="F92" s="373">
        <f>VLOOKUP(A92,'RB-UNADJ-Plant'!$A$12:$E$107,5,FALSE)</f>
        <v>5160859.16</v>
      </c>
      <c r="G92" s="281">
        <f t="shared" si="16"/>
        <v>-142521.92951845151</v>
      </c>
      <c r="H92" s="284">
        <f t="shared" si="17"/>
        <v>5018337.2304815482</v>
      </c>
      <c r="I92" s="281"/>
      <c r="J92" s="281"/>
      <c r="K92" s="281">
        <v>-27017.779518451502</v>
      </c>
      <c r="L92" s="281">
        <v>1</v>
      </c>
      <c r="M92" s="281"/>
      <c r="N92" s="281"/>
      <c r="O92" s="281"/>
      <c r="P92" s="281">
        <v>26910</v>
      </c>
      <c r="Q92" s="281">
        <v>-142415.15</v>
      </c>
    </row>
    <row r="93" spans="1:17">
      <c r="A93" s="247" t="s">
        <v>787</v>
      </c>
      <c r="B93" s="247"/>
      <c r="C93" s="247"/>
      <c r="D93" s="205">
        <v>391</v>
      </c>
      <c r="E93" s="283" t="s">
        <v>293</v>
      </c>
      <c r="F93" s="373">
        <f>VLOOKUP(A93,'RB-UNADJ-Plant'!$A$12:$E$107,5,FALSE)</f>
        <v>2528366.9000000004</v>
      </c>
      <c r="G93" s="281">
        <f t="shared" si="16"/>
        <v>146255</v>
      </c>
      <c r="H93" s="284">
        <f t="shared" si="17"/>
        <v>2674621.9000000004</v>
      </c>
      <c r="I93" s="281"/>
      <c r="J93" s="281"/>
      <c r="K93" s="281"/>
      <c r="L93" s="281"/>
      <c r="M93" s="281"/>
      <c r="N93" s="281"/>
      <c r="O93" s="281"/>
      <c r="P93" s="281">
        <v>146255</v>
      </c>
      <c r="Q93" s="281"/>
    </row>
    <row r="94" spans="1:17">
      <c r="A94" s="247" t="s">
        <v>788</v>
      </c>
      <c r="B94" s="247"/>
      <c r="C94" s="247"/>
      <c r="D94" s="205">
        <v>392</v>
      </c>
      <c r="E94" s="283" t="s">
        <v>123</v>
      </c>
      <c r="F94" s="373">
        <f>VLOOKUP(A94,'RB-UNADJ-Plant'!$A$12:$E$107,5,FALSE)</f>
        <v>9295824.8599999994</v>
      </c>
      <c r="G94" s="281">
        <f t="shared" si="16"/>
        <v>231161</v>
      </c>
      <c r="H94" s="284">
        <f t="shared" si="17"/>
        <v>9526985.8599999994</v>
      </c>
      <c r="I94" s="281"/>
      <c r="J94" s="281"/>
      <c r="K94" s="281"/>
      <c r="L94" s="281">
        <v>1239</v>
      </c>
      <c r="M94" s="281"/>
      <c r="N94" s="281"/>
      <c r="O94" s="281"/>
      <c r="P94" s="281">
        <v>229922</v>
      </c>
      <c r="Q94" s="281"/>
    </row>
    <row r="95" spans="1:17">
      <c r="A95" s="247" t="s">
        <v>789</v>
      </c>
      <c r="B95" s="247"/>
      <c r="C95" s="247"/>
      <c r="D95" s="205">
        <v>393</v>
      </c>
      <c r="E95" s="283" t="s">
        <v>124</v>
      </c>
      <c r="F95" s="373">
        <f>VLOOKUP(A95,'RB-UNADJ-Plant'!$A$12:$E$107,5,FALSE)</f>
        <v>188535.62000000002</v>
      </c>
      <c r="G95" s="281">
        <f t="shared" si="16"/>
        <v>-24438.202116970053</v>
      </c>
      <c r="H95" s="284">
        <f t="shared" si="17"/>
        <v>164097.41788302996</v>
      </c>
      <c r="I95" s="281"/>
      <c r="J95" s="281"/>
      <c r="K95" s="281">
        <v>-8597.9421169700508</v>
      </c>
      <c r="L95" s="281"/>
      <c r="M95" s="281"/>
      <c r="N95" s="281"/>
      <c r="O95" s="281"/>
      <c r="P95" s="281"/>
      <c r="Q95" s="281">
        <v>-15840.26</v>
      </c>
    </row>
    <row r="96" spans="1:17">
      <c r="A96" s="247" t="s">
        <v>790</v>
      </c>
      <c r="B96" s="247"/>
      <c r="C96" s="247"/>
      <c r="D96" s="205">
        <v>394</v>
      </c>
      <c r="E96" s="283" t="s">
        <v>125</v>
      </c>
      <c r="F96" s="373">
        <f>VLOOKUP(A96,'RB-UNADJ-Plant'!$A$12:$E$107,5,FALSE)</f>
        <v>2930471.17</v>
      </c>
      <c r="G96" s="281">
        <f t="shared" si="16"/>
        <v>-384465.04682255368</v>
      </c>
      <c r="H96" s="284">
        <f t="shared" si="17"/>
        <v>2546006.1231774464</v>
      </c>
      <c r="I96" s="281"/>
      <c r="J96" s="281"/>
      <c r="K96" s="281">
        <v>-47525.386822553701</v>
      </c>
      <c r="L96" s="281"/>
      <c r="M96" s="281"/>
      <c r="N96" s="281"/>
      <c r="O96" s="281"/>
      <c r="P96" s="281">
        <v>24595</v>
      </c>
      <c r="Q96" s="281">
        <v>-361534.66</v>
      </c>
    </row>
    <row r="97" spans="1:17">
      <c r="A97" s="247" t="s">
        <v>791</v>
      </c>
      <c r="B97" s="247"/>
      <c r="C97" s="247"/>
      <c r="D97" s="205">
        <v>395</v>
      </c>
      <c r="E97" s="283" t="s">
        <v>126</v>
      </c>
      <c r="F97" s="373">
        <f>VLOOKUP(A97,'RB-UNADJ-Plant'!$A$12:$E$107,5,FALSE)</f>
        <v>53093.94000000001</v>
      </c>
      <c r="G97" s="281">
        <f t="shared" si="16"/>
        <v>0</v>
      </c>
      <c r="H97" s="284">
        <f t="shared" si="17"/>
        <v>53093.94000000001</v>
      </c>
      <c r="I97" s="281"/>
      <c r="J97" s="281"/>
      <c r="K97" s="281"/>
      <c r="L97" s="281"/>
      <c r="M97" s="281"/>
      <c r="N97" s="281"/>
      <c r="O97" s="281"/>
      <c r="P97" s="281"/>
      <c r="Q97" s="281"/>
    </row>
    <row r="98" spans="1:17">
      <c r="A98" s="247" t="s">
        <v>792</v>
      </c>
      <c r="B98" s="247"/>
      <c r="C98" s="247"/>
      <c r="D98" s="205">
        <v>396</v>
      </c>
      <c r="E98" s="283" t="s">
        <v>127</v>
      </c>
      <c r="F98" s="373">
        <f>VLOOKUP(A98,'RB-UNADJ-Plant'!$A$12:$E$107,5,FALSE)</f>
        <v>1811091.8499999999</v>
      </c>
      <c r="G98" s="281">
        <f t="shared" si="16"/>
        <v>53626.8</v>
      </c>
      <c r="H98" s="284">
        <f t="shared" si="17"/>
        <v>1864718.65</v>
      </c>
      <c r="I98" s="281"/>
      <c r="J98" s="281"/>
      <c r="K98" s="281"/>
      <c r="L98" s="281"/>
      <c r="M98" s="281"/>
      <c r="N98" s="281"/>
      <c r="O98" s="281"/>
      <c r="P98" s="281">
        <v>40727</v>
      </c>
      <c r="Q98" s="281">
        <v>12899.8</v>
      </c>
    </row>
    <row r="99" spans="1:17">
      <c r="A99" s="247" t="s">
        <v>793</v>
      </c>
      <c r="B99" s="247"/>
      <c r="C99" s="247"/>
      <c r="D99" s="205">
        <v>397</v>
      </c>
      <c r="E99" s="283" t="s">
        <v>128</v>
      </c>
      <c r="F99" s="373">
        <f>VLOOKUP(A99,'RB-UNADJ-Plant'!$A$12:$E$107,5,FALSE)</f>
        <v>1502363.8800000001</v>
      </c>
      <c r="G99" s="281">
        <f t="shared" si="16"/>
        <v>6350</v>
      </c>
      <c r="H99" s="284">
        <f t="shared" si="17"/>
        <v>1508713.8800000001</v>
      </c>
      <c r="I99" s="281"/>
      <c r="J99" s="281"/>
      <c r="K99" s="281"/>
      <c r="L99" s="281"/>
      <c r="M99" s="281"/>
      <c r="N99" s="281"/>
      <c r="O99" s="281"/>
      <c r="P99" s="281">
        <v>6350</v>
      </c>
      <c r="Q99" s="281"/>
    </row>
    <row r="100" spans="1:17">
      <c r="A100" s="247" t="s">
        <v>794</v>
      </c>
      <c r="B100" s="247"/>
      <c r="C100" s="247"/>
      <c r="D100" s="205">
        <v>398</v>
      </c>
      <c r="E100" s="283" t="s">
        <v>129</v>
      </c>
      <c r="F100" s="373">
        <f>VLOOKUP(A100,'RB-UNADJ-Plant'!$A$12:$E$107,5,FALSE)</f>
        <v>295990.46000000002</v>
      </c>
      <c r="G100" s="281">
        <f t="shared" si="16"/>
        <v>-10263.50457934957</v>
      </c>
      <c r="H100" s="284">
        <f t="shared" si="17"/>
        <v>285726.95542065043</v>
      </c>
      <c r="I100" s="281"/>
      <c r="J100" s="281"/>
      <c r="K100" s="281">
        <v>-5951.4245793495702</v>
      </c>
      <c r="L100" s="281"/>
      <c r="M100" s="281"/>
      <c r="N100" s="281"/>
      <c r="O100" s="281"/>
      <c r="P100" s="281">
        <v>-4921</v>
      </c>
      <c r="Q100" s="281">
        <v>608.91999999999996</v>
      </c>
    </row>
    <row r="101" spans="1:17">
      <c r="A101" s="247"/>
      <c r="B101" s="247" t="s">
        <v>256</v>
      </c>
      <c r="C101" s="247"/>
      <c r="D101" s="221"/>
      <c r="E101" s="285"/>
      <c r="F101" s="484"/>
      <c r="G101" s="281">
        <f t="shared" si="16"/>
        <v>0</v>
      </c>
      <c r="H101" s="284">
        <f t="shared" si="17"/>
        <v>0</v>
      </c>
      <c r="I101" s="281"/>
      <c r="J101" s="281"/>
      <c r="K101" s="281"/>
      <c r="L101" s="281"/>
      <c r="M101" s="281"/>
      <c r="N101" s="281"/>
      <c r="O101" s="281"/>
      <c r="P101" s="281"/>
      <c r="Q101" s="281"/>
    </row>
    <row r="102" spans="1:17" s="282" customFormat="1">
      <c r="A102" s="248"/>
      <c r="B102" s="248"/>
      <c r="C102" s="248"/>
      <c r="D102" s="182"/>
      <c r="E102" s="286" t="s">
        <v>295</v>
      </c>
      <c r="F102" s="287">
        <f>SUM(F91:F101)</f>
        <v>23938061.620000005</v>
      </c>
      <c r="G102" s="287">
        <f>SUM(G91:G101)</f>
        <v>-241951.32677614476</v>
      </c>
      <c r="H102" s="288">
        <f>SUM(H91:H101)</f>
        <v>23696110.293223854</v>
      </c>
      <c r="I102" s="281"/>
      <c r="J102" s="281"/>
      <c r="K102" s="281"/>
      <c r="L102" s="281"/>
      <c r="M102" s="281"/>
      <c r="N102" s="281"/>
      <c r="O102" s="281"/>
      <c r="P102" s="281"/>
      <c r="Q102" s="281"/>
    </row>
    <row r="103" spans="1:17">
      <c r="A103" s="247"/>
      <c r="B103" s="247"/>
      <c r="C103" s="247"/>
      <c r="D103" s="182"/>
      <c r="F103" s="254"/>
      <c r="G103" s="266"/>
      <c r="H103" s="303"/>
      <c r="I103" s="281"/>
      <c r="J103" s="281"/>
      <c r="K103" s="281"/>
      <c r="L103" s="281"/>
      <c r="M103" s="281"/>
      <c r="N103" s="281"/>
      <c r="O103" s="281"/>
      <c r="P103" s="281"/>
      <c r="Q103" s="281"/>
    </row>
    <row r="104" spans="1:17" s="282" customFormat="1">
      <c r="A104" s="247"/>
      <c r="B104" s="247"/>
      <c r="C104" s="247"/>
      <c r="D104" s="182"/>
      <c r="E104" s="267" t="s">
        <v>296</v>
      </c>
      <c r="F104" s="296"/>
      <c r="G104" s="266"/>
      <c r="H104" s="303"/>
      <c r="I104" s="281"/>
      <c r="J104" s="281"/>
      <c r="K104" s="281"/>
      <c r="L104" s="281"/>
      <c r="M104" s="281"/>
      <c r="N104" s="281"/>
      <c r="O104" s="281"/>
      <c r="P104" s="281"/>
      <c r="Q104" s="281"/>
    </row>
    <row r="105" spans="1:17" s="282" customFormat="1">
      <c r="A105" s="247"/>
      <c r="B105" s="247"/>
      <c r="C105" s="247"/>
      <c r="D105" s="182">
        <v>115</v>
      </c>
      <c r="E105" s="283" t="s">
        <v>298</v>
      </c>
      <c r="F105" s="266">
        <f>+F63</f>
        <v>131016.29000000001</v>
      </c>
      <c r="G105" s="266">
        <f>+G63</f>
        <v>247505.54672492415</v>
      </c>
      <c r="H105" s="303">
        <f>+H63</f>
        <v>378521.83672492416</v>
      </c>
      <c r="I105" s="281"/>
      <c r="J105" s="281"/>
      <c r="K105" s="281"/>
      <c r="L105" s="281"/>
      <c r="M105" s="281"/>
      <c r="N105" s="281"/>
      <c r="O105" s="281"/>
      <c r="P105" s="281"/>
      <c r="Q105" s="281"/>
    </row>
    <row r="106" spans="1:17" s="282" customFormat="1">
      <c r="A106" s="247"/>
      <c r="B106" s="247"/>
      <c r="C106" s="247"/>
      <c r="D106" s="182">
        <v>115</v>
      </c>
      <c r="E106" s="283" t="s">
        <v>299</v>
      </c>
      <c r="F106" s="266">
        <f>+F72</f>
        <v>15032272.41</v>
      </c>
      <c r="G106" s="266">
        <f>+G72</f>
        <v>-5342524.3562300131</v>
      </c>
      <c r="H106" s="303">
        <f>+H72</f>
        <v>9689748.0537699871</v>
      </c>
      <c r="I106" s="281"/>
      <c r="J106" s="281"/>
      <c r="K106" s="281"/>
      <c r="L106" s="281"/>
      <c r="M106" s="281"/>
      <c r="N106" s="281"/>
      <c r="O106" s="281"/>
      <c r="P106" s="281"/>
      <c r="Q106" s="281"/>
    </row>
    <row r="107" spans="1:17" s="282" customFormat="1">
      <c r="A107" s="247"/>
      <c r="B107" s="247"/>
      <c r="C107" s="247"/>
      <c r="D107" s="182">
        <v>115</v>
      </c>
      <c r="E107" s="253" t="s">
        <v>300</v>
      </c>
      <c r="F107" s="254">
        <f>+F88</f>
        <v>234203524.02000001</v>
      </c>
      <c r="G107" s="266">
        <f>+G88</f>
        <v>-37455758.600239523</v>
      </c>
      <c r="H107" s="303">
        <f>+H88</f>
        <v>196747765.41976047</v>
      </c>
      <c r="I107" s="281"/>
      <c r="J107" s="281"/>
      <c r="K107" s="281"/>
      <c r="L107" s="281"/>
      <c r="M107" s="281"/>
      <c r="N107" s="281"/>
      <c r="O107" s="281"/>
      <c r="P107" s="281"/>
      <c r="Q107" s="281"/>
    </row>
    <row r="108" spans="1:17" s="282" customFormat="1">
      <c r="A108" s="247"/>
      <c r="B108" s="247"/>
      <c r="C108" s="247"/>
      <c r="D108" s="182">
        <v>115</v>
      </c>
      <c r="E108" s="283" t="s">
        <v>301</v>
      </c>
      <c r="F108" s="266">
        <f>+F102</f>
        <v>23938061.620000005</v>
      </c>
      <c r="G108" s="266">
        <f>+G102</f>
        <v>-241951.32677614476</v>
      </c>
      <c r="H108" s="303">
        <f>+H102</f>
        <v>23696110.293223854</v>
      </c>
      <c r="I108" s="281"/>
      <c r="J108" s="281"/>
      <c r="K108" s="281"/>
      <c r="L108" s="281"/>
      <c r="M108" s="281"/>
      <c r="N108" s="281"/>
      <c r="O108" s="281"/>
      <c r="P108" s="281"/>
      <c r="Q108" s="281"/>
    </row>
    <row r="109" spans="1:17" ht="13.8" thickBot="1">
      <c r="A109" s="247"/>
      <c r="B109" s="247"/>
      <c r="C109" s="247"/>
      <c r="D109" s="182"/>
      <c r="E109" s="300" t="s">
        <v>21</v>
      </c>
      <c r="F109" s="301">
        <f>SUM(F105:F108)</f>
        <v>273304874.34000003</v>
      </c>
      <c r="G109" s="301">
        <f>SUM(G105:G108)</f>
        <v>-42792728.73652076</v>
      </c>
      <c r="H109" s="302">
        <f>SUM(H105:H108)</f>
        <v>230512145.60347924</v>
      </c>
      <c r="I109" s="281"/>
      <c r="J109" s="281"/>
      <c r="K109" s="281"/>
      <c r="L109" s="281"/>
      <c r="M109" s="281"/>
      <c r="N109" s="281"/>
      <c r="O109" s="281"/>
      <c r="P109" s="281"/>
      <c r="Q109" s="281"/>
    </row>
    <row r="110" spans="1:17" ht="13.8" thickTop="1">
      <c r="A110" s="247"/>
      <c r="B110" s="247"/>
      <c r="C110" s="247"/>
      <c r="D110" s="182"/>
      <c r="F110" s="254"/>
      <c r="G110" s="266"/>
      <c r="H110" s="303"/>
      <c r="I110" s="281"/>
      <c r="J110" s="281"/>
      <c r="K110" s="281"/>
      <c r="L110" s="281"/>
      <c r="M110" s="281"/>
      <c r="N110" s="281"/>
      <c r="O110" s="281"/>
      <c r="P110" s="281"/>
      <c r="Q110" s="281"/>
    </row>
    <row r="111" spans="1:17" s="282" customFormat="1">
      <c r="A111" s="247"/>
      <c r="B111" s="247"/>
      <c r="C111" s="247"/>
      <c r="D111" s="182"/>
      <c r="E111" s="267" t="s">
        <v>302</v>
      </c>
      <c r="F111" s="296"/>
      <c r="G111" s="266"/>
      <c r="H111" s="303"/>
      <c r="I111" s="281"/>
      <c r="J111" s="281"/>
      <c r="K111" s="281"/>
      <c r="L111" s="281"/>
      <c r="M111" s="281"/>
      <c r="N111" s="281"/>
      <c r="O111" s="281"/>
      <c r="P111" s="281"/>
      <c r="Q111" s="281"/>
    </row>
    <row r="112" spans="1:17" s="282" customFormat="1">
      <c r="A112" s="247"/>
      <c r="B112" s="247"/>
      <c r="C112" s="247"/>
      <c r="D112" s="182"/>
      <c r="E112" s="283" t="s">
        <v>133</v>
      </c>
      <c r="F112" s="266">
        <f t="shared" ref="F112:H115" si="18">+F52-F105</f>
        <v>325227.14</v>
      </c>
      <c r="G112" s="266">
        <f t="shared" si="18"/>
        <v>1092877.4532750759</v>
      </c>
      <c r="H112" s="303">
        <f t="shared" si="18"/>
        <v>1418104.593275076</v>
      </c>
      <c r="I112" s="281"/>
      <c r="J112" s="281"/>
      <c r="K112" s="281"/>
      <c r="L112" s="281"/>
      <c r="M112" s="281"/>
      <c r="N112" s="281"/>
      <c r="O112" s="281"/>
      <c r="P112" s="281"/>
      <c r="Q112" s="281"/>
    </row>
    <row r="113" spans="1:18" s="282" customFormat="1">
      <c r="A113" s="247"/>
      <c r="B113" s="247"/>
      <c r="C113" s="247"/>
      <c r="D113" s="182"/>
      <c r="E113" s="283" t="s">
        <v>135</v>
      </c>
      <c r="F113" s="266">
        <f t="shared" si="18"/>
        <v>10922310.539999999</v>
      </c>
      <c r="G113" s="266">
        <f t="shared" si="18"/>
        <v>-1820471.343769988</v>
      </c>
      <c r="H113" s="303">
        <f t="shared" si="18"/>
        <v>9101839.1962300055</v>
      </c>
      <c r="I113" s="281"/>
      <c r="J113" s="281"/>
      <c r="K113" s="281"/>
      <c r="L113" s="281"/>
      <c r="M113" s="281"/>
      <c r="N113" s="281"/>
      <c r="O113" s="281"/>
      <c r="P113" s="281"/>
      <c r="Q113" s="281"/>
      <c r="R113" s="281"/>
    </row>
    <row r="114" spans="1:18" s="282" customFormat="1">
      <c r="A114" s="247"/>
      <c r="B114" s="247"/>
      <c r="C114" s="247"/>
      <c r="D114" s="182"/>
      <c r="E114" s="253" t="s">
        <v>136</v>
      </c>
      <c r="F114" s="266">
        <f t="shared" si="18"/>
        <v>287514711.53000009</v>
      </c>
      <c r="G114" s="266">
        <f t="shared" si="18"/>
        <v>21824837.915690824</v>
      </c>
      <c r="H114" s="303">
        <f t="shared" si="18"/>
        <v>309339549.44569087</v>
      </c>
      <c r="I114" s="281"/>
      <c r="J114" s="281"/>
      <c r="K114" s="281"/>
      <c r="L114" s="281"/>
      <c r="M114" s="281"/>
      <c r="N114" s="281"/>
      <c r="O114" s="281"/>
      <c r="P114" s="281"/>
      <c r="Q114" s="281"/>
      <c r="R114" s="281"/>
    </row>
    <row r="115" spans="1:18" s="282" customFormat="1">
      <c r="A115" s="247"/>
      <c r="B115" s="247"/>
      <c r="C115" s="247"/>
      <c r="D115" s="182"/>
      <c r="E115" s="283" t="s">
        <v>137</v>
      </c>
      <c r="F115" s="266">
        <f t="shared" si="18"/>
        <v>36316111.43</v>
      </c>
      <c r="G115" s="266">
        <f t="shared" si="18"/>
        <v>5865065.3367761448</v>
      </c>
      <c r="H115" s="303">
        <f t="shared" si="18"/>
        <v>42181176.766776145</v>
      </c>
      <c r="I115" s="281"/>
      <c r="J115" s="281"/>
      <c r="K115" s="281"/>
      <c r="L115" s="281"/>
      <c r="M115" s="281"/>
      <c r="N115" s="281"/>
      <c r="O115" s="281"/>
      <c r="P115" s="281"/>
      <c r="Q115" s="281"/>
      <c r="R115" s="281"/>
    </row>
    <row r="116" spans="1:18" ht="13.8" thickBot="1">
      <c r="A116" s="247"/>
      <c r="B116" s="247"/>
      <c r="C116" s="247"/>
      <c r="D116" s="182"/>
      <c r="E116" s="300" t="s">
        <v>303</v>
      </c>
      <c r="F116" s="301">
        <f>SUM(F112:F115)</f>
        <v>335078360.6400001</v>
      </c>
      <c r="G116" s="301">
        <f>SUM(G112:G115)</f>
        <v>26962309.361972056</v>
      </c>
      <c r="H116" s="302">
        <f>SUM(H112:H115)</f>
        <v>362040670.00197208</v>
      </c>
      <c r="I116" s="281"/>
      <c r="J116" s="281"/>
      <c r="K116" s="281"/>
      <c r="L116" s="281"/>
      <c r="M116" s="281"/>
      <c r="N116" s="281"/>
      <c r="O116" s="281"/>
      <c r="P116" s="281"/>
      <c r="Q116" s="281"/>
      <c r="R116" s="281"/>
    </row>
    <row r="117" spans="1:18" ht="13.8" thickTop="1">
      <c r="A117" s="247"/>
      <c r="B117" s="247"/>
      <c r="C117" s="247"/>
      <c r="D117" s="182"/>
      <c r="F117" s="266"/>
      <c r="G117" s="266"/>
      <c r="H117" s="303"/>
      <c r="I117" s="281"/>
      <c r="J117" s="281"/>
      <c r="K117" s="281"/>
      <c r="L117" s="281"/>
      <c r="M117" s="281"/>
      <c r="N117" s="281"/>
      <c r="O117" s="281"/>
      <c r="P117" s="281"/>
      <c r="Q117" s="281"/>
      <c r="R117" s="281"/>
    </row>
    <row r="118" spans="1:18">
      <c r="A118" s="247"/>
      <c r="B118" s="247"/>
      <c r="C118" s="247"/>
      <c r="D118" s="253"/>
      <c r="E118" s="267" t="s">
        <v>6</v>
      </c>
      <c r="F118" s="289"/>
      <c r="G118" s="266"/>
      <c r="H118" s="303"/>
      <c r="I118" s="281"/>
      <c r="J118" s="281"/>
      <c r="K118" s="281"/>
      <c r="L118" s="281"/>
      <c r="M118" s="281"/>
      <c r="N118" s="281"/>
      <c r="O118" s="281"/>
      <c r="P118" s="281"/>
      <c r="Q118" s="281"/>
      <c r="R118" s="281"/>
    </row>
    <row r="119" spans="1:18">
      <c r="A119" s="247"/>
      <c r="B119" s="247"/>
      <c r="C119" s="247"/>
      <c r="D119" s="40" t="s">
        <v>22</v>
      </c>
      <c r="E119" s="283" t="s">
        <v>23</v>
      </c>
      <c r="F119" s="407">
        <v>0</v>
      </c>
      <c r="G119" s="281">
        <f>SUM(I119:R119)</f>
        <v>-5304562.0382017521</v>
      </c>
      <c r="H119" s="303">
        <f>F119+G119</f>
        <v>-5304562.0382017521</v>
      </c>
      <c r="I119" s="281"/>
      <c r="J119" s="281"/>
      <c r="K119" s="281"/>
      <c r="L119" s="281"/>
      <c r="M119" s="281"/>
      <c r="N119" s="281"/>
      <c r="O119" s="281"/>
      <c r="P119" s="281"/>
      <c r="Q119" s="281"/>
      <c r="R119" s="279">
        <v>-5304562.0382017521</v>
      </c>
    </row>
    <row r="120" spans="1:18">
      <c r="A120" s="247" t="s">
        <v>1565</v>
      </c>
      <c r="B120" s="247" t="s">
        <v>1566</v>
      </c>
      <c r="C120" s="247"/>
      <c r="D120" s="164" t="s">
        <v>1747</v>
      </c>
      <c r="E120" s="283" t="s">
        <v>25</v>
      </c>
      <c r="F120" s="373">
        <f>IFERROR(VLOOKUP(A120,'RB-UNADJ-FERC BS'!A10:B87,2,FALSE),0)+IFERROR(VLOOKUP(B120,'RB-UNADJ-FERC BS'!A10:B87,2,FALSE),0)</f>
        <v>2757590.7800000003</v>
      </c>
      <c r="G120" s="281">
        <f>SUM(I120:R120)</f>
        <v>-164808</v>
      </c>
      <c r="H120" s="303">
        <f>F120+G120</f>
        <v>2592782.7800000003</v>
      </c>
      <c r="I120" s="281"/>
      <c r="J120" s="281"/>
      <c r="K120" s="281"/>
      <c r="L120" s="281"/>
      <c r="M120" s="281"/>
      <c r="N120" s="281"/>
      <c r="O120" s="281"/>
      <c r="P120" s="281"/>
      <c r="Q120" s="281"/>
      <c r="R120" s="281">
        <v>-164808</v>
      </c>
    </row>
    <row r="121" spans="1:18">
      <c r="A121" s="247" t="s">
        <v>1567</v>
      </c>
      <c r="B121" s="247"/>
      <c r="C121" s="247"/>
      <c r="D121" s="13">
        <v>165</v>
      </c>
      <c r="E121" s="253" t="s">
        <v>26</v>
      </c>
      <c r="F121" s="373">
        <f>IFERROR(VLOOKUP(A121,'RB-UNADJ-FERC BS'!A11:B88,2,FALSE),0)</f>
        <v>188413.13</v>
      </c>
      <c r="G121" s="281">
        <f>SUM(I121:R121)</f>
        <v>296611</v>
      </c>
      <c r="H121" s="303">
        <f>F121+G121</f>
        <v>485024.13</v>
      </c>
      <c r="I121" s="281"/>
      <c r="J121" s="281"/>
      <c r="K121" s="281"/>
      <c r="L121" s="281"/>
      <c r="M121" s="281"/>
      <c r="N121" s="281"/>
      <c r="O121" s="281"/>
      <c r="P121" s="281"/>
      <c r="Q121" s="281"/>
      <c r="R121" s="281">
        <v>296611</v>
      </c>
    </row>
    <row r="122" spans="1:18">
      <c r="A122" s="247"/>
      <c r="B122" s="247"/>
      <c r="C122" s="247"/>
      <c r="D122" s="182"/>
      <c r="E122" s="308" t="s">
        <v>27</v>
      </c>
      <c r="F122" s="287">
        <f>SUM(F119:F121)</f>
        <v>2946003.91</v>
      </c>
      <c r="G122" s="287">
        <f>SUM(G119:G121)</f>
        <v>-5172759.0382017521</v>
      </c>
      <c r="H122" s="288">
        <f>SUM(H119:H121)</f>
        <v>-2226755.128201752</v>
      </c>
      <c r="I122" s="281"/>
      <c r="J122" s="281"/>
      <c r="K122" s="281"/>
      <c r="L122" s="281"/>
      <c r="M122" s="281"/>
      <c r="N122" s="281"/>
      <c r="O122" s="281"/>
      <c r="P122" s="281"/>
      <c r="Q122" s="281"/>
      <c r="R122" s="281"/>
    </row>
    <row r="123" spans="1:18">
      <c r="A123" s="247"/>
      <c r="B123" s="247"/>
      <c r="C123" s="247"/>
      <c r="D123" s="182"/>
      <c r="E123" s="309"/>
      <c r="F123" s="296"/>
      <c r="G123" s="266"/>
      <c r="H123" s="303"/>
      <c r="I123" s="281"/>
      <c r="J123" s="281"/>
      <c r="K123" s="281"/>
      <c r="L123" s="281"/>
      <c r="M123" s="281"/>
      <c r="N123" s="281"/>
      <c r="O123" s="281"/>
      <c r="P123" s="281"/>
      <c r="Q123" s="281"/>
      <c r="R123" s="281"/>
    </row>
    <row r="124" spans="1:18">
      <c r="A124" s="247"/>
      <c r="B124" s="247"/>
      <c r="C124" s="247"/>
      <c r="D124" s="253"/>
      <c r="E124" s="267" t="s">
        <v>28</v>
      </c>
      <c r="F124" s="372"/>
      <c r="G124" s="266"/>
      <c r="H124" s="303"/>
      <c r="I124" s="281"/>
      <c r="J124" s="281"/>
      <c r="K124" s="281"/>
      <c r="L124" s="281"/>
      <c r="M124" s="281"/>
      <c r="N124" s="281"/>
      <c r="O124" s="281"/>
      <c r="P124" s="281"/>
      <c r="Q124" s="281"/>
      <c r="R124" s="281"/>
    </row>
    <row r="125" spans="1:18">
      <c r="A125" s="247" t="s">
        <v>1599</v>
      </c>
      <c r="B125" s="247"/>
      <c r="C125" s="247"/>
      <c r="D125" s="254">
        <v>252</v>
      </c>
      <c r="E125" s="253" t="s">
        <v>29</v>
      </c>
      <c r="F125" s="373">
        <f>-IFERROR(VLOOKUP(A125,'RB-UNADJ-FERC BS'!A15:B92,2,FALSE),0)</f>
        <v>-5445150</v>
      </c>
      <c r="G125" s="281">
        <f>SUM(I125:R125)</f>
        <v>0</v>
      </c>
      <c r="H125" s="284">
        <f>F125+G125</f>
        <v>-5445150</v>
      </c>
      <c r="I125" s="281"/>
      <c r="J125" s="281"/>
      <c r="K125" s="281"/>
      <c r="L125" s="281"/>
      <c r="M125" s="281"/>
      <c r="N125" s="281"/>
      <c r="O125" s="281"/>
      <c r="P125" s="281"/>
      <c r="Q125" s="281"/>
      <c r="R125" s="281"/>
    </row>
    <row r="126" spans="1:18">
      <c r="A126" s="247" t="s">
        <v>1592</v>
      </c>
      <c r="B126" s="247"/>
      <c r="C126" s="247"/>
      <c r="D126" s="254">
        <v>235</v>
      </c>
      <c r="E126" s="253" t="s">
        <v>30</v>
      </c>
      <c r="F126" s="373">
        <f>-IFERROR(VLOOKUP(A126,'RB-UNADJ-FERC BS'!A16:B93,2,FALSE),0)</f>
        <v>-1598822.74</v>
      </c>
      <c r="G126" s="281">
        <f>SUM(I126:R126)</f>
        <v>0</v>
      </c>
      <c r="H126" s="284">
        <f>F126+G126</f>
        <v>-1598822.74</v>
      </c>
      <c r="I126" s="281"/>
      <c r="J126" s="281"/>
      <c r="K126" s="281"/>
      <c r="L126" s="281"/>
      <c r="M126" s="281"/>
      <c r="N126" s="281"/>
      <c r="O126" s="281"/>
      <c r="P126" s="281"/>
      <c r="Q126" s="281"/>
      <c r="R126" s="281"/>
    </row>
    <row r="127" spans="1:18">
      <c r="A127" s="247"/>
      <c r="B127" s="247"/>
      <c r="C127" s="247"/>
      <c r="D127" s="182"/>
      <c r="E127" s="286" t="s">
        <v>31</v>
      </c>
      <c r="F127" s="287">
        <f>SUM(F125:F126)</f>
        <v>-7043972.7400000002</v>
      </c>
      <c r="G127" s="287">
        <f>SUM(G125:G126)</f>
        <v>0</v>
      </c>
      <c r="H127" s="288">
        <f>SUM(H125:H126)</f>
        <v>-7043972.7400000002</v>
      </c>
      <c r="I127" s="281"/>
      <c r="J127" s="281"/>
      <c r="K127" s="281"/>
      <c r="L127" s="281"/>
      <c r="M127" s="281"/>
      <c r="N127" s="281"/>
      <c r="O127" s="281"/>
      <c r="P127" s="281"/>
      <c r="Q127" s="281"/>
      <c r="R127" s="281"/>
    </row>
    <row r="128" spans="1:18">
      <c r="H128" s="303"/>
    </row>
    <row r="129" spans="1:9" ht="13.8" thickBot="1">
      <c r="A129" s="247"/>
      <c r="B129" s="247"/>
      <c r="C129" s="247"/>
      <c r="D129" s="182"/>
      <c r="E129" s="300" t="s">
        <v>32</v>
      </c>
      <c r="F129" s="270">
        <f>+F116+F122+F127</f>
        <v>330980391.81000012</v>
      </c>
      <c r="G129" s="270">
        <f>+G116+G122+G127</f>
        <v>21789550.323770303</v>
      </c>
      <c r="H129" s="310">
        <f>+H116+H122+H127</f>
        <v>352769942.13377035</v>
      </c>
      <c r="I129" s="281"/>
    </row>
    <row r="130" spans="1:9" ht="13.8" thickTop="1">
      <c r="A130" s="247"/>
      <c r="B130" s="247"/>
      <c r="C130" s="247"/>
      <c r="D130" s="182"/>
      <c r="E130" s="267"/>
      <c r="F130" s="259"/>
      <c r="G130" s="266"/>
      <c r="H130" s="303"/>
      <c r="I130" s="281"/>
    </row>
    <row r="131" spans="1:9">
      <c r="A131" s="247"/>
      <c r="B131" s="247"/>
      <c r="C131" s="247"/>
      <c r="D131" s="182"/>
      <c r="E131" s="267" t="s">
        <v>33</v>
      </c>
      <c r="F131" s="266"/>
      <c r="G131" s="266"/>
      <c r="H131" s="303"/>
      <c r="I131" s="281"/>
    </row>
    <row r="132" spans="1:9">
      <c r="A132" s="247"/>
      <c r="B132" s="247"/>
      <c r="C132" s="247"/>
      <c r="D132" s="182"/>
      <c r="E132" s="283" t="s">
        <v>1774</v>
      </c>
      <c r="F132" s="369">
        <f>'RB-Reg Asset-Liab'!F64</f>
        <v>0</v>
      </c>
      <c r="G132" s="281">
        <f>SUM(I132:R132)</f>
        <v>0</v>
      </c>
      <c r="H132" s="303">
        <f>F132+G132</f>
        <v>0</v>
      </c>
      <c r="I132" s="281"/>
    </row>
    <row r="133" spans="1:9">
      <c r="A133" s="247"/>
      <c r="B133" s="247"/>
      <c r="C133" s="247"/>
      <c r="D133" s="40">
        <v>182.3</v>
      </c>
      <c r="E133" s="12" t="s">
        <v>428</v>
      </c>
      <c r="F133" s="369">
        <f>'RB-Reg Asset-Liab'!F67</f>
        <v>1094518.56</v>
      </c>
      <c r="G133" s="281">
        <f>SUM(I133:R133)</f>
        <v>0</v>
      </c>
      <c r="H133" s="303">
        <f>F133+G133</f>
        <v>1094518.56</v>
      </c>
      <c r="I133" s="281"/>
    </row>
    <row r="134" spans="1:9">
      <c r="A134" s="247"/>
      <c r="B134" s="247"/>
      <c r="C134" s="247"/>
      <c r="D134" s="13">
        <v>254</v>
      </c>
      <c r="E134" s="12" t="s">
        <v>427</v>
      </c>
      <c r="F134" s="369">
        <f>'RB-Reg Asset-Liab'!F70</f>
        <v>-24912739.370000001</v>
      </c>
      <c r="G134" s="281">
        <f>SUM(I134:R134)</f>
        <v>-11195</v>
      </c>
      <c r="H134" s="303">
        <f>F134+G134</f>
        <v>-24923934.370000001</v>
      </c>
      <c r="I134" s="281">
        <v>-11195</v>
      </c>
    </row>
    <row r="135" spans="1:9">
      <c r="A135" s="247"/>
      <c r="B135" s="247"/>
      <c r="C135" s="247"/>
      <c r="D135" s="253"/>
      <c r="E135" s="286" t="s">
        <v>34</v>
      </c>
      <c r="F135" s="287">
        <f>SUM(F132:F134)</f>
        <v>-23818220.810000002</v>
      </c>
      <c r="G135" s="287">
        <f>SUM(G132:G134)</f>
        <v>-11195</v>
      </c>
      <c r="H135" s="288">
        <f>SUM(H132:H134)</f>
        <v>-23829415.810000002</v>
      </c>
      <c r="I135" s="281"/>
    </row>
    <row r="136" spans="1:9">
      <c r="A136" s="247"/>
      <c r="B136" s="247"/>
      <c r="C136" s="247"/>
      <c r="D136" s="182"/>
      <c r="E136" s="267"/>
      <c r="F136" s="296"/>
      <c r="G136" s="266"/>
      <c r="H136" s="303"/>
      <c r="I136" s="281"/>
    </row>
    <row r="137" spans="1:9">
      <c r="A137" s="247"/>
      <c r="B137" s="247"/>
      <c r="C137" s="247"/>
      <c r="D137" s="182"/>
      <c r="E137" s="267" t="s">
        <v>35</v>
      </c>
      <c r="F137" s="319"/>
      <c r="G137" s="266"/>
      <c r="H137" s="303"/>
      <c r="I137" s="281"/>
    </row>
    <row r="138" spans="1:9">
      <c r="A138" s="247" t="s">
        <v>1576</v>
      </c>
      <c r="B138" s="247"/>
      <c r="C138" s="247"/>
      <c r="D138" s="205">
        <v>190</v>
      </c>
      <c r="E138" s="253" t="s">
        <v>36</v>
      </c>
      <c r="F138" s="373">
        <f>IFERROR(VLOOKUP(A138,'RB-UNADJ-FERC BS'!A27:B104,2,FALSE),0)</f>
        <v>13744137.569999998</v>
      </c>
      <c r="G138" s="281">
        <f>SUM(I138:R138)</f>
        <v>-962865</v>
      </c>
      <c r="H138" s="284">
        <f>F138+G138</f>
        <v>12781272.569999998</v>
      </c>
      <c r="I138" s="281">
        <v>-962865</v>
      </c>
    </row>
    <row r="139" spans="1:9">
      <c r="A139" s="247" t="s">
        <v>1601</v>
      </c>
      <c r="B139" s="247"/>
      <c r="C139" s="247"/>
      <c r="D139" s="205">
        <v>282</v>
      </c>
      <c r="E139" s="253" t="s">
        <v>37</v>
      </c>
      <c r="F139" s="373">
        <f>-IFERROR(VLOOKUP(A139,'RB-UNADJ-FERC BS'!A28:B105,2,FALSE),0)</f>
        <v>-49396187.520000003</v>
      </c>
      <c r="G139" s="281">
        <f>SUM(I139:R139)</f>
        <v>-758049.22108383104</v>
      </c>
      <c r="H139" s="284">
        <f>F139+G139</f>
        <v>-50154236.741083831</v>
      </c>
      <c r="I139" s="281">
        <v>-758049.22108383104</v>
      </c>
    </row>
    <row r="140" spans="1:9">
      <c r="A140" s="247" t="s">
        <v>1602</v>
      </c>
      <c r="B140" s="247"/>
      <c r="C140" s="247"/>
      <c r="D140" s="205">
        <v>283</v>
      </c>
      <c r="E140" s="253" t="s">
        <v>38</v>
      </c>
      <c r="F140" s="373">
        <f>-IFERROR(VLOOKUP(A140,'RB-UNADJ-FERC BS'!A29:B106,2,FALSE),0)</f>
        <v>-1246221.47</v>
      </c>
      <c r="G140" s="281">
        <f>SUM(I140:R140)</f>
        <v>974041</v>
      </c>
      <c r="H140" s="284">
        <f>F140+G140</f>
        <v>-272180.46999999997</v>
      </c>
      <c r="I140" s="281">
        <v>974041</v>
      </c>
    </row>
    <row r="141" spans="1:9">
      <c r="A141" s="247"/>
      <c r="B141" s="247"/>
      <c r="C141" s="247"/>
      <c r="D141" s="182"/>
      <c r="E141" s="286" t="s">
        <v>39</v>
      </c>
      <c r="F141" s="287">
        <f>SUM(F138:F140)</f>
        <v>-36898271.420000002</v>
      </c>
      <c r="G141" s="287">
        <f>SUM(G138:G140)</f>
        <v>-746873.22108383104</v>
      </c>
      <c r="H141" s="288">
        <f>SUM(H138:H140)</f>
        <v>-37645144.641083829</v>
      </c>
      <c r="I141" s="281"/>
    </row>
    <row r="142" spans="1:9">
      <c r="A142" s="247"/>
      <c r="B142" s="247"/>
      <c r="C142" s="247"/>
      <c r="D142" s="182"/>
      <c r="E142" s="290"/>
      <c r="F142" s="291"/>
      <c r="G142" s="291"/>
      <c r="H142" s="292"/>
      <c r="I142" s="281"/>
    </row>
    <row r="143" spans="1:9" ht="13.8" thickBot="1">
      <c r="A143" s="247"/>
      <c r="B143" s="247"/>
      <c r="C143" s="247"/>
      <c r="D143" s="182"/>
      <c r="E143" s="311" t="s">
        <v>40</v>
      </c>
      <c r="F143" s="301">
        <f>+F129+F135+F141</f>
        <v>270263899.5800001</v>
      </c>
      <c r="G143" s="301">
        <f>+G129+G135+G141</f>
        <v>21031482.102686472</v>
      </c>
      <c r="H143" s="302">
        <f>+H129+H135+H141</f>
        <v>291295381.68268651</v>
      </c>
      <c r="I143" s="281"/>
    </row>
    <row r="144" spans="1:9" ht="13.8" thickTop="1"/>
    <row r="145" spans="5:8">
      <c r="F145" s="309" t="s">
        <v>41</v>
      </c>
      <c r="H145" s="277">
        <f>+H143-H119</f>
        <v>296599943.72088826</v>
      </c>
    </row>
    <row r="146" spans="5:8">
      <c r="F146" s="281"/>
      <c r="G146" s="281"/>
      <c r="H146" s="281"/>
    </row>
    <row r="147" spans="5:8" ht="13.8" thickBot="1">
      <c r="H147" s="281"/>
    </row>
    <row r="148" spans="5:8" ht="13.8" thickBot="1">
      <c r="F148" s="312" t="s">
        <v>304</v>
      </c>
      <c r="G148" s="313"/>
      <c r="H148" s="314"/>
    </row>
    <row r="149" spans="5:8">
      <c r="F149" s="281"/>
      <c r="G149" s="281"/>
      <c r="H149" s="281"/>
    </row>
    <row r="150" spans="5:8">
      <c r="E150" s="315"/>
      <c r="F150" s="259" t="s">
        <v>151</v>
      </c>
      <c r="G150" s="259" t="s">
        <v>166</v>
      </c>
      <c r="H150" s="259" t="s">
        <v>152</v>
      </c>
    </row>
    <row r="151" spans="5:8">
      <c r="F151" s="316" t="s">
        <v>3</v>
      </c>
      <c r="G151" s="316" t="s">
        <v>3</v>
      </c>
      <c r="H151" s="316" t="s">
        <v>3</v>
      </c>
    </row>
    <row r="152" spans="5:8">
      <c r="E152" s="317"/>
      <c r="H152" s="253"/>
    </row>
    <row r="153" spans="5:8">
      <c r="E153" s="317" t="s">
        <v>305</v>
      </c>
      <c r="F153" s="318">
        <f>+F56/1000</f>
        <v>608383.23498000018</v>
      </c>
      <c r="G153" s="318">
        <f>+G56/1000</f>
        <v>-15830.419374548697</v>
      </c>
      <c r="H153" s="318">
        <f>+H56/1000</f>
        <v>592552.81560545135</v>
      </c>
    </row>
    <row r="154" spans="5:8">
      <c r="E154" s="317" t="s">
        <v>306</v>
      </c>
      <c r="F154" s="318">
        <f>'B2 P1'!E11</f>
        <v>608383.23498000018</v>
      </c>
      <c r="G154" s="318">
        <f>'B2 P1'!G11</f>
        <v>-15830.419374548706</v>
      </c>
      <c r="H154" s="318">
        <f>'B2 P1'!I11</f>
        <v>592552.81560545147</v>
      </c>
    </row>
    <row r="155" spans="5:8">
      <c r="E155" s="317" t="s">
        <v>3</v>
      </c>
      <c r="F155" s="318">
        <f>+F153-F154</f>
        <v>0</v>
      </c>
      <c r="G155" s="318">
        <f>+G153-G154</f>
        <v>0</v>
      </c>
      <c r="H155" s="318">
        <f>+H153-H154</f>
        <v>0</v>
      </c>
    </row>
    <row r="156" spans="5:8">
      <c r="E156" s="317"/>
      <c r="F156" s="318"/>
      <c r="G156" s="318"/>
      <c r="H156" s="318"/>
    </row>
    <row r="157" spans="5:8">
      <c r="E157" s="317" t="s">
        <v>307</v>
      </c>
      <c r="F157" s="318">
        <f>+F109/1000</f>
        <v>273304.87434000004</v>
      </c>
      <c r="G157" s="318">
        <f>+G109/1000</f>
        <v>-42792.728736520759</v>
      </c>
      <c r="H157" s="318">
        <f>+H109/1000</f>
        <v>230512.14560347924</v>
      </c>
    </row>
    <row r="158" spans="5:8">
      <c r="E158" s="317" t="s">
        <v>308</v>
      </c>
      <c r="F158" s="318">
        <f>'B2 P1'!E13</f>
        <v>273304.87434000004</v>
      </c>
      <c r="G158" s="318">
        <f>'B2 P1'!G13</f>
        <v>-42792.728736520767</v>
      </c>
      <c r="H158" s="318">
        <f>'B2 P1'!I13</f>
        <v>230512.14560347926</v>
      </c>
    </row>
    <row r="159" spans="5:8">
      <c r="E159" s="317" t="s">
        <v>3</v>
      </c>
      <c r="F159" s="318">
        <f>+F157-F158</f>
        <v>0</v>
      </c>
      <c r="G159" s="318">
        <f>+G157-G158</f>
        <v>0</v>
      </c>
      <c r="H159" s="318">
        <f>+H157-H158</f>
        <v>0</v>
      </c>
    </row>
    <row r="161" spans="5:8">
      <c r="E161" s="317" t="s">
        <v>309</v>
      </c>
      <c r="F161" s="318">
        <f>+F116/1000</f>
        <v>335078.36064000009</v>
      </c>
      <c r="G161" s="318">
        <f>+G116/1000</f>
        <v>26962.309361972057</v>
      </c>
      <c r="H161" s="318">
        <f>+H116/1000</f>
        <v>362040.67000197206</v>
      </c>
    </row>
    <row r="162" spans="5:8">
      <c r="E162" s="317" t="s">
        <v>310</v>
      </c>
      <c r="F162" s="318">
        <f>'B2 P1'!E15</f>
        <v>335078.36064000014</v>
      </c>
      <c r="G162" s="318">
        <f>'B2 P1'!G15</f>
        <v>26962.30936197206</v>
      </c>
      <c r="H162" s="318">
        <f>'B2 P1'!I15</f>
        <v>362040.67000197223</v>
      </c>
    </row>
    <row r="163" spans="5:8">
      <c r="E163" s="317" t="s">
        <v>3</v>
      </c>
      <c r="F163" s="318">
        <f>+F161-F162</f>
        <v>0</v>
      </c>
      <c r="G163" s="318">
        <f>+G161-G162</f>
        <v>0</v>
      </c>
      <c r="H163" s="318">
        <f>+H161-H162</f>
        <v>0</v>
      </c>
    </row>
    <row r="164" spans="5:8">
      <c r="E164" s="317"/>
      <c r="F164" s="318"/>
      <c r="G164" s="318"/>
      <c r="H164" s="318"/>
    </row>
    <row r="165" spans="5:8">
      <c r="E165" s="317" t="s">
        <v>311</v>
      </c>
      <c r="F165" s="318">
        <f>+F143/1000</f>
        <v>270263.89958000008</v>
      </c>
      <c r="G165" s="318">
        <f>+G143/1000</f>
        <v>21031.482102686474</v>
      </c>
      <c r="H165" s="318">
        <f>+H143/1000</f>
        <v>291295.38168268651</v>
      </c>
    </row>
    <row r="166" spans="5:8">
      <c r="E166" s="317" t="s">
        <v>312</v>
      </c>
      <c r="F166" s="318">
        <f>'B2 P1'!E38</f>
        <v>270263.89958000014</v>
      </c>
      <c r="G166" s="318">
        <f>'B2 P1'!G38</f>
        <v>21031.482102686477</v>
      </c>
      <c r="H166" s="318">
        <f>'B2 P1'!I38</f>
        <v>291295.38168268668</v>
      </c>
    </row>
    <row r="167" spans="5:8">
      <c r="E167" s="317" t="s">
        <v>3</v>
      </c>
      <c r="F167" s="318">
        <f>+F165-F166</f>
        <v>0</v>
      </c>
      <c r="G167" s="318">
        <f>+G165-G166</f>
        <v>0</v>
      </c>
      <c r="H167" s="318">
        <f>+H165-H166</f>
        <v>0</v>
      </c>
    </row>
  </sheetData>
  <printOptions horizontalCentered="1" gridLines="1"/>
  <pageMargins left="0" right="0" top="0.75" bottom="0.65" header="0.5" footer="0.2"/>
  <pageSetup scale="45" fitToHeight="4" orientation="landscape" r:id="rId1"/>
  <headerFooter alignWithMargins="0">
    <oddFooter>&amp;CPage &amp;P of &amp;N&amp;R&amp;D  &amp;T</oddFooter>
  </headerFooter>
  <rowBreaks count="1" manualBreakCount="1">
    <brk id="1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>
    <tabColor rgb="FF00B050"/>
  </sheetPr>
  <dimension ref="A1:BR167"/>
  <sheetViews>
    <sheetView topLeftCell="D1" zoomScale="80" zoomScaleNormal="80" workbookViewId="0">
      <pane ySplit="7" topLeftCell="A8" activePane="bottomLeft" state="frozen"/>
      <selection sqref="A1:F1"/>
      <selection pane="bottomLeft" sqref="A1:F1"/>
    </sheetView>
  </sheetViews>
  <sheetFormatPr defaultColWidth="8.5546875" defaultRowHeight="13.2"/>
  <cols>
    <col min="1" max="3" width="11.6640625" style="12" hidden="1" customWidth="1"/>
    <col min="4" max="4" width="12.5546875" style="12" customWidth="1"/>
    <col min="5" max="5" width="50.5546875" style="12" customWidth="1"/>
    <col min="6" max="7" width="17.5546875" style="12" customWidth="1"/>
    <col min="8" max="8" width="17.5546875" style="13" customWidth="1"/>
    <col min="9" max="18" width="15.5546875" style="13" customWidth="1"/>
    <col min="19" max="238" width="8.5546875" style="12"/>
    <col min="239" max="239" width="12.5546875" style="12" customWidth="1"/>
    <col min="240" max="240" width="75.5546875" style="12" customWidth="1"/>
    <col min="241" max="243" width="18.5546875" style="12" customWidth="1"/>
    <col min="244" max="244" width="16.5546875" style="12" customWidth="1"/>
    <col min="245" max="245" width="1.5546875" style="12" customWidth="1"/>
    <col min="246" max="246" width="16.5546875" style="12" customWidth="1"/>
    <col min="247" max="247" width="1.5546875" style="12" customWidth="1"/>
    <col min="248" max="248" width="16.5546875" style="12" customWidth="1"/>
    <col min="249" max="249" width="1.5546875" style="12" customWidth="1"/>
    <col min="250" max="250" width="16.5546875" style="12" customWidth="1"/>
    <col min="251" max="251" width="1.5546875" style="12" customWidth="1"/>
    <col min="252" max="252" width="16.5546875" style="12" customWidth="1"/>
    <col min="253" max="253" width="1.5546875" style="12" customWidth="1"/>
    <col min="254" max="254" width="16.5546875" style="12" customWidth="1"/>
    <col min="255" max="255" width="1.5546875" style="12" customWidth="1"/>
    <col min="256" max="256" width="16.5546875" style="12" customWidth="1"/>
    <col min="257" max="257" width="1.5546875" style="12" customWidth="1"/>
    <col min="258" max="259" width="16.5546875" style="12" customWidth="1"/>
    <col min="260" max="494" width="8.5546875" style="12"/>
    <col min="495" max="495" width="12.5546875" style="12" customWidth="1"/>
    <col min="496" max="496" width="75.5546875" style="12" customWidth="1"/>
    <col min="497" max="499" width="18.5546875" style="12" customWidth="1"/>
    <col min="500" max="500" width="16.5546875" style="12" customWidth="1"/>
    <col min="501" max="501" width="1.5546875" style="12" customWidth="1"/>
    <col min="502" max="502" width="16.5546875" style="12" customWidth="1"/>
    <col min="503" max="503" width="1.5546875" style="12" customWidth="1"/>
    <col min="504" max="504" width="16.5546875" style="12" customWidth="1"/>
    <col min="505" max="505" width="1.5546875" style="12" customWidth="1"/>
    <col min="506" max="506" width="16.5546875" style="12" customWidth="1"/>
    <col min="507" max="507" width="1.5546875" style="12" customWidth="1"/>
    <col min="508" max="508" width="16.5546875" style="12" customWidth="1"/>
    <col min="509" max="509" width="1.5546875" style="12" customWidth="1"/>
    <col min="510" max="510" width="16.5546875" style="12" customWidth="1"/>
    <col min="511" max="511" width="1.5546875" style="12" customWidth="1"/>
    <col min="512" max="512" width="16.5546875" style="12" customWidth="1"/>
    <col min="513" max="513" width="1.5546875" style="12" customWidth="1"/>
    <col min="514" max="515" width="16.5546875" style="12" customWidth="1"/>
    <col min="516" max="750" width="8.5546875" style="12"/>
    <col min="751" max="751" width="12.5546875" style="12" customWidth="1"/>
    <col min="752" max="752" width="75.5546875" style="12" customWidth="1"/>
    <col min="753" max="755" width="18.5546875" style="12" customWidth="1"/>
    <col min="756" max="756" width="16.5546875" style="12" customWidth="1"/>
    <col min="757" max="757" width="1.5546875" style="12" customWidth="1"/>
    <col min="758" max="758" width="16.5546875" style="12" customWidth="1"/>
    <col min="759" max="759" width="1.5546875" style="12" customWidth="1"/>
    <col min="760" max="760" width="16.5546875" style="12" customWidth="1"/>
    <col min="761" max="761" width="1.5546875" style="12" customWidth="1"/>
    <col min="762" max="762" width="16.5546875" style="12" customWidth="1"/>
    <col min="763" max="763" width="1.5546875" style="12" customWidth="1"/>
    <col min="764" max="764" width="16.5546875" style="12" customWidth="1"/>
    <col min="765" max="765" width="1.5546875" style="12" customWidth="1"/>
    <col min="766" max="766" width="16.5546875" style="12" customWidth="1"/>
    <col min="767" max="767" width="1.5546875" style="12" customWidth="1"/>
    <col min="768" max="768" width="16.5546875" style="12" customWidth="1"/>
    <col min="769" max="769" width="1.5546875" style="12" customWidth="1"/>
    <col min="770" max="771" width="16.5546875" style="12" customWidth="1"/>
    <col min="772" max="1006" width="8.5546875" style="12"/>
    <col min="1007" max="1007" width="12.5546875" style="12" customWidth="1"/>
    <col min="1008" max="1008" width="75.5546875" style="12" customWidth="1"/>
    <col min="1009" max="1011" width="18.5546875" style="12" customWidth="1"/>
    <col min="1012" max="1012" width="16.5546875" style="12" customWidth="1"/>
    <col min="1013" max="1013" width="1.5546875" style="12" customWidth="1"/>
    <col min="1014" max="1014" width="16.5546875" style="12" customWidth="1"/>
    <col min="1015" max="1015" width="1.5546875" style="12" customWidth="1"/>
    <col min="1016" max="1016" width="16.5546875" style="12" customWidth="1"/>
    <col min="1017" max="1017" width="1.5546875" style="12" customWidth="1"/>
    <col min="1018" max="1018" width="16.5546875" style="12" customWidth="1"/>
    <col min="1019" max="1019" width="1.5546875" style="12" customWidth="1"/>
    <col min="1020" max="1020" width="16.5546875" style="12" customWidth="1"/>
    <col min="1021" max="1021" width="1.5546875" style="12" customWidth="1"/>
    <col min="1022" max="1022" width="16.5546875" style="12" customWidth="1"/>
    <col min="1023" max="1023" width="1.5546875" style="12" customWidth="1"/>
    <col min="1024" max="1024" width="16.5546875" style="12" customWidth="1"/>
    <col min="1025" max="1025" width="1.5546875" style="12" customWidth="1"/>
    <col min="1026" max="1027" width="16.5546875" style="12" customWidth="1"/>
    <col min="1028" max="1262" width="8.5546875" style="12"/>
    <col min="1263" max="1263" width="12.5546875" style="12" customWidth="1"/>
    <col min="1264" max="1264" width="75.5546875" style="12" customWidth="1"/>
    <col min="1265" max="1267" width="18.5546875" style="12" customWidth="1"/>
    <col min="1268" max="1268" width="16.5546875" style="12" customWidth="1"/>
    <col min="1269" max="1269" width="1.5546875" style="12" customWidth="1"/>
    <col min="1270" max="1270" width="16.5546875" style="12" customWidth="1"/>
    <col min="1271" max="1271" width="1.5546875" style="12" customWidth="1"/>
    <col min="1272" max="1272" width="16.5546875" style="12" customWidth="1"/>
    <col min="1273" max="1273" width="1.5546875" style="12" customWidth="1"/>
    <col min="1274" max="1274" width="16.5546875" style="12" customWidth="1"/>
    <col min="1275" max="1275" width="1.5546875" style="12" customWidth="1"/>
    <col min="1276" max="1276" width="16.5546875" style="12" customWidth="1"/>
    <col min="1277" max="1277" width="1.5546875" style="12" customWidth="1"/>
    <col min="1278" max="1278" width="16.5546875" style="12" customWidth="1"/>
    <col min="1279" max="1279" width="1.5546875" style="12" customWidth="1"/>
    <col min="1280" max="1280" width="16.5546875" style="12" customWidth="1"/>
    <col min="1281" max="1281" width="1.5546875" style="12" customWidth="1"/>
    <col min="1282" max="1283" width="16.5546875" style="12" customWidth="1"/>
    <col min="1284" max="1518" width="8.5546875" style="12"/>
    <col min="1519" max="1519" width="12.5546875" style="12" customWidth="1"/>
    <col min="1520" max="1520" width="75.5546875" style="12" customWidth="1"/>
    <col min="1521" max="1523" width="18.5546875" style="12" customWidth="1"/>
    <col min="1524" max="1524" width="16.5546875" style="12" customWidth="1"/>
    <col min="1525" max="1525" width="1.5546875" style="12" customWidth="1"/>
    <col min="1526" max="1526" width="16.5546875" style="12" customWidth="1"/>
    <col min="1527" max="1527" width="1.5546875" style="12" customWidth="1"/>
    <col min="1528" max="1528" width="16.5546875" style="12" customWidth="1"/>
    <col min="1529" max="1529" width="1.5546875" style="12" customWidth="1"/>
    <col min="1530" max="1530" width="16.5546875" style="12" customWidth="1"/>
    <col min="1531" max="1531" width="1.5546875" style="12" customWidth="1"/>
    <col min="1532" max="1532" width="16.5546875" style="12" customWidth="1"/>
    <col min="1533" max="1533" width="1.5546875" style="12" customWidth="1"/>
    <col min="1534" max="1534" width="16.5546875" style="12" customWidth="1"/>
    <col min="1535" max="1535" width="1.5546875" style="12" customWidth="1"/>
    <col min="1536" max="1536" width="16.5546875" style="12" customWidth="1"/>
    <col min="1537" max="1537" width="1.5546875" style="12" customWidth="1"/>
    <col min="1538" max="1539" width="16.5546875" style="12" customWidth="1"/>
    <col min="1540" max="1774" width="8.5546875" style="12"/>
    <col min="1775" max="1775" width="12.5546875" style="12" customWidth="1"/>
    <col min="1776" max="1776" width="75.5546875" style="12" customWidth="1"/>
    <col min="1777" max="1779" width="18.5546875" style="12" customWidth="1"/>
    <col min="1780" max="1780" width="16.5546875" style="12" customWidth="1"/>
    <col min="1781" max="1781" width="1.5546875" style="12" customWidth="1"/>
    <col min="1782" max="1782" width="16.5546875" style="12" customWidth="1"/>
    <col min="1783" max="1783" width="1.5546875" style="12" customWidth="1"/>
    <col min="1784" max="1784" width="16.5546875" style="12" customWidth="1"/>
    <col min="1785" max="1785" width="1.5546875" style="12" customWidth="1"/>
    <col min="1786" max="1786" width="16.5546875" style="12" customWidth="1"/>
    <col min="1787" max="1787" width="1.5546875" style="12" customWidth="1"/>
    <col min="1788" max="1788" width="16.5546875" style="12" customWidth="1"/>
    <col min="1789" max="1789" width="1.5546875" style="12" customWidth="1"/>
    <col min="1790" max="1790" width="16.5546875" style="12" customWidth="1"/>
    <col min="1791" max="1791" width="1.5546875" style="12" customWidth="1"/>
    <col min="1792" max="1792" width="16.5546875" style="12" customWidth="1"/>
    <col min="1793" max="1793" width="1.5546875" style="12" customWidth="1"/>
    <col min="1794" max="1795" width="16.5546875" style="12" customWidth="1"/>
    <col min="1796" max="2030" width="8.5546875" style="12"/>
    <col min="2031" max="2031" width="12.5546875" style="12" customWidth="1"/>
    <col min="2032" max="2032" width="75.5546875" style="12" customWidth="1"/>
    <col min="2033" max="2035" width="18.5546875" style="12" customWidth="1"/>
    <col min="2036" max="2036" width="16.5546875" style="12" customWidth="1"/>
    <col min="2037" max="2037" width="1.5546875" style="12" customWidth="1"/>
    <col min="2038" max="2038" width="16.5546875" style="12" customWidth="1"/>
    <col min="2039" max="2039" width="1.5546875" style="12" customWidth="1"/>
    <col min="2040" max="2040" width="16.5546875" style="12" customWidth="1"/>
    <col min="2041" max="2041" width="1.5546875" style="12" customWidth="1"/>
    <col min="2042" max="2042" width="16.5546875" style="12" customWidth="1"/>
    <col min="2043" max="2043" width="1.5546875" style="12" customWidth="1"/>
    <col min="2044" max="2044" width="16.5546875" style="12" customWidth="1"/>
    <col min="2045" max="2045" width="1.5546875" style="12" customWidth="1"/>
    <col min="2046" max="2046" width="16.5546875" style="12" customWidth="1"/>
    <col min="2047" max="2047" width="1.5546875" style="12" customWidth="1"/>
    <col min="2048" max="2048" width="16.5546875" style="12" customWidth="1"/>
    <col min="2049" max="2049" width="1.5546875" style="12" customWidth="1"/>
    <col min="2050" max="2051" width="16.5546875" style="12" customWidth="1"/>
    <col min="2052" max="2286" width="8.5546875" style="12"/>
    <col min="2287" max="2287" width="12.5546875" style="12" customWidth="1"/>
    <col min="2288" max="2288" width="75.5546875" style="12" customWidth="1"/>
    <col min="2289" max="2291" width="18.5546875" style="12" customWidth="1"/>
    <col min="2292" max="2292" width="16.5546875" style="12" customWidth="1"/>
    <col min="2293" max="2293" width="1.5546875" style="12" customWidth="1"/>
    <col min="2294" max="2294" width="16.5546875" style="12" customWidth="1"/>
    <col min="2295" max="2295" width="1.5546875" style="12" customWidth="1"/>
    <col min="2296" max="2296" width="16.5546875" style="12" customWidth="1"/>
    <col min="2297" max="2297" width="1.5546875" style="12" customWidth="1"/>
    <col min="2298" max="2298" width="16.5546875" style="12" customWidth="1"/>
    <col min="2299" max="2299" width="1.5546875" style="12" customWidth="1"/>
    <col min="2300" max="2300" width="16.5546875" style="12" customWidth="1"/>
    <col min="2301" max="2301" width="1.5546875" style="12" customWidth="1"/>
    <col min="2302" max="2302" width="16.5546875" style="12" customWidth="1"/>
    <col min="2303" max="2303" width="1.5546875" style="12" customWidth="1"/>
    <col min="2304" max="2304" width="16.5546875" style="12" customWidth="1"/>
    <col min="2305" max="2305" width="1.5546875" style="12" customWidth="1"/>
    <col min="2306" max="2307" width="16.5546875" style="12" customWidth="1"/>
    <col min="2308" max="2542" width="8.5546875" style="12"/>
    <col min="2543" max="2543" width="12.5546875" style="12" customWidth="1"/>
    <col min="2544" max="2544" width="75.5546875" style="12" customWidth="1"/>
    <col min="2545" max="2547" width="18.5546875" style="12" customWidth="1"/>
    <col min="2548" max="2548" width="16.5546875" style="12" customWidth="1"/>
    <col min="2549" max="2549" width="1.5546875" style="12" customWidth="1"/>
    <col min="2550" max="2550" width="16.5546875" style="12" customWidth="1"/>
    <col min="2551" max="2551" width="1.5546875" style="12" customWidth="1"/>
    <col min="2552" max="2552" width="16.5546875" style="12" customWidth="1"/>
    <col min="2553" max="2553" width="1.5546875" style="12" customWidth="1"/>
    <col min="2554" max="2554" width="16.5546875" style="12" customWidth="1"/>
    <col min="2555" max="2555" width="1.5546875" style="12" customWidth="1"/>
    <col min="2556" max="2556" width="16.5546875" style="12" customWidth="1"/>
    <col min="2557" max="2557" width="1.5546875" style="12" customWidth="1"/>
    <col min="2558" max="2558" width="16.5546875" style="12" customWidth="1"/>
    <col min="2559" max="2559" width="1.5546875" style="12" customWidth="1"/>
    <col min="2560" max="2560" width="16.5546875" style="12" customWidth="1"/>
    <col min="2561" max="2561" width="1.5546875" style="12" customWidth="1"/>
    <col min="2562" max="2563" width="16.5546875" style="12" customWidth="1"/>
    <col min="2564" max="2798" width="8.5546875" style="12"/>
    <col min="2799" max="2799" width="12.5546875" style="12" customWidth="1"/>
    <col min="2800" max="2800" width="75.5546875" style="12" customWidth="1"/>
    <col min="2801" max="2803" width="18.5546875" style="12" customWidth="1"/>
    <col min="2804" max="2804" width="16.5546875" style="12" customWidth="1"/>
    <col min="2805" max="2805" width="1.5546875" style="12" customWidth="1"/>
    <col min="2806" max="2806" width="16.5546875" style="12" customWidth="1"/>
    <col min="2807" max="2807" width="1.5546875" style="12" customWidth="1"/>
    <col min="2808" max="2808" width="16.5546875" style="12" customWidth="1"/>
    <col min="2809" max="2809" width="1.5546875" style="12" customWidth="1"/>
    <col min="2810" max="2810" width="16.5546875" style="12" customWidth="1"/>
    <col min="2811" max="2811" width="1.5546875" style="12" customWidth="1"/>
    <col min="2812" max="2812" width="16.5546875" style="12" customWidth="1"/>
    <col min="2813" max="2813" width="1.5546875" style="12" customWidth="1"/>
    <col min="2814" max="2814" width="16.5546875" style="12" customWidth="1"/>
    <col min="2815" max="2815" width="1.5546875" style="12" customWidth="1"/>
    <col min="2816" max="2816" width="16.5546875" style="12" customWidth="1"/>
    <col min="2817" max="2817" width="1.5546875" style="12" customWidth="1"/>
    <col min="2818" max="2819" width="16.5546875" style="12" customWidth="1"/>
    <col min="2820" max="3054" width="8.5546875" style="12"/>
    <col min="3055" max="3055" width="12.5546875" style="12" customWidth="1"/>
    <col min="3056" max="3056" width="75.5546875" style="12" customWidth="1"/>
    <col min="3057" max="3059" width="18.5546875" style="12" customWidth="1"/>
    <col min="3060" max="3060" width="16.5546875" style="12" customWidth="1"/>
    <col min="3061" max="3061" width="1.5546875" style="12" customWidth="1"/>
    <col min="3062" max="3062" width="16.5546875" style="12" customWidth="1"/>
    <col min="3063" max="3063" width="1.5546875" style="12" customWidth="1"/>
    <col min="3064" max="3064" width="16.5546875" style="12" customWidth="1"/>
    <col min="3065" max="3065" width="1.5546875" style="12" customWidth="1"/>
    <col min="3066" max="3066" width="16.5546875" style="12" customWidth="1"/>
    <col min="3067" max="3067" width="1.5546875" style="12" customWidth="1"/>
    <col min="3068" max="3068" width="16.5546875" style="12" customWidth="1"/>
    <col min="3069" max="3069" width="1.5546875" style="12" customWidth="1"/>
    <col min="3070" max="3070" width="16.5546875" style="12" customWidth="1"/>
    <col min="3071" max="3071" width="1.5546875" style="12" customWidth="1"/>
    <col min="3072" max="3072" width="16.5546875" style="12" customWidth="1"/>
    <col min="3073" max="3073" width="1.5546875" style="12" customWidth="1"/>
    <col min="3074" max="3075" width="16.5546875" style="12" customWidth="1"/>
    <col min="3076" max="3310" width="8.5546875" style="12"/>
    <col min="3311" max="3311" width="12.5546875" style="12" customWidth="1"/>
    <col min="3312" max="3312" width="75.5546875" style="12" customWidth="1"/>
    <col min="3313" max="3315" width="18.5546875" style="12" customWidth="1"/>
    <col min="3316" max="3316" width="16.5546875" style="12" customWidth="1"/>
    <col min="3317" max="3317" width="1.5546875" style="12" customWidth="1"/>
    <col min="3318" max="3318" width="16.5546875" style="12" customWidth="1"/>
    <col min="3319" max="3319" width="1.5546875" style="12" customWidth="1"/>
    <col min="3320" max="3320" width="16.5546875" style="12" customWidth="1"/>
    <col min="3321" max="3321" width="1.5546875" style="12" customWidth="1"/>
    <col min="3322" max="3322" width="16.5546875" style="12" customWidth="1"/>
    <col min="3323" max="3323" width="1.5546875" style="12" customWidth="1"/>
    <col min="3324" max="3324" width="16.5546875" style="12" customWidth="1"/>
    <col min="3325" max="3325" width="1.5546875" style="12" customWidth="1"/>
    <col min="3326" max="3326" width="16.5546875" style="12" customWidth="1"/>
    <col min="3327" max="3327" width="1.5546875" style="12" customWidth="1"/>
    <col min="3328" max="3328" width="16.5546875" style="12" customWidth="1"/>
    <col min="3329" max="3329" width="1.5546875" style="12" customWidth="1"/>
    <col min="3330" max="3331" width="16.5546875" style="12" customWidth="1"/>
    <col min="3332" max="3566" width="8.5546875" style="12"/>
    <col min="3567" max="3567" width="12.5546875" style="12" customWidth="1"/>
    <col min="3568" max="3568" width="75.5546875" style="12" customWidth="1"/>
    <col min="3569" max="3571" width="18.5546875" style="12" customWidth="1"/>
    <col min="3572" max="3572" width="16.5546875" style="12" customWidth="1"/>
    <col min="3573" max="3573" width="1.5546875" style="12" customWidth="1"/>
    <col min="3574" max="3574" width="16.5546875" style="12" customWidth="1"/>
    <col min="3575" max="3575" width="1.5546875" style="12" customWidth="1"/>
    <col min="3576" max="3576" width="16.5546875" style="12" customWidth="1"/>
    <col min="3577" max="3577" width="1.5546875" style="12" customWidth="1"/>
    <col min="3578" max="3578" width="16.5546875" style="12" customWidth="1"/>
    <col min="3579" max="3579" width="1.5546875" style="12" customWidth="1"/>
    <col min="3580" max="3580" width="16.5546875" style="12" customWidth="1"/>
    <col min="3581" max="3581" width="1.5546875" style="12" customWidth="1"/>
    <col min="3582" max="3582" width="16.5546875" style="12" customWidth="1"/>
    <col min="3583" max="3583" width="1.5546875" style="12" customWidth="1"/>
    <col min="3584" max="3584" width="16.5546875" style="12" customWidth="1"/>
    <col min="3585" max="3585" width="1.5546875" style="12" customWidth="1"/>
    <col min="3586" max="3587" width="16.5546875" style="12" customWidth="1"/>
    <col min="3588" max="3822" width="8.5546875" style="12"/>
    <col min="3823" max="3823" width="12.5546875" style="12" customWidth="1"/>
    <col min="3824" max="3824" width="75.5546875" style="12" customWidth="1"/>
    <col min="3825" max="3827" width="18.5546875" style="12" customWidth="1"/>
    <col min="3828" max="3828" width="16.5546875" style="12" customWidth="1"/>
    <col min="3829" max="3829" width="1.5546875" style="12" customWidth="1"/>
    <col min="3830" max="3830" width="16.5546875" style="12" customWidth="1"/>
    <col min="3831" max="3831" width="1.5546875" style="12" customWidth="1"/>
    <col min="3832" max="3832" width="16.5546875" style="12" customWidth="1"/>
    <col min="3833" max="3833" width="1.5546875" style="12" customWidth="1"/>
    <col min="3834" max="3834" width="16.5546875" style="12" customWidth="1"/>
    <col min="3835" max="3835" width="1.5546875" style="12" customWidth="1"/>
    <col min="3836" max="3836" width="16.5546875" style="12" customWidth="1"/>
    <col min="3837" max="3837" width="1.5546875" style="12" customWidth="1"/>
    <col min="3838" max="3838" width="16.5546875" style="12" customWidth="1"/>
    <col min="3839" max="3839" width="1.5546875" style="12" customWidth="1"/>
    <col min="3840" max="3840" width="16.5546875" style="12" customWidth="1"/>
    <col min="3841" max="3841" width="1.5546875" style="12" customWidth="1"/>
    <col min="3842" max="3843" width="16.5546875" style="12" customWidth="1"/>
    <col min="3844" max="4078" width="8.5546875" style="12"/>
    <col min="4079" max="4079" width="12.5546875" style="12" customWidth="1"/>
    <col min="4080" max="4080" width="75.5546875" style="12" customWidth="1"/>
    <col min="4081" max="4083" width="18.5546875" style="12" customWidth="1"/>
    <col min="4084" max="4084" width="16.5546875" style="12" customWidth="1"/>
    <col min="4085" max="4085" width="1.5546875" style="12" customWidth="1"/>
    <col min="4086" max="4086" width="16.5546875" style="12" customWidth="1"/>
    <col min="4087" max="4087" width="1.5546875" style="12" customWidth="1"/>
    <col min="4088" max="4088" width="16.5546875" style="12" customWidth="1"/>
    <col min="4089" max="4089" width="1.5546875" style="12" customWidth="1"/>
    <col min="4090" max="4090" width="16.5546875" style="12" customWidth="1"/>
    <col min="4091" max="4091" width="1.5546875" style="12" customWidth="1"/>
    <col min="4092" max="4092" width="16.5546875" style="12" customWidth="1"/>
    <col min="4093" max="4093" width="1.5546875" style="12" customWidth="1"/>
    <col min="4094" max="4094" width="16.5546875" style="12" customWidth="1"/>
    <col min="4095" max="4095" width="1.5546875" style="12" customWidth="1"/>
    <col min="4096" max="4096" width="16.5546875" style="12" customWidth="1"/>
    <col min="4097" max="4097" width="1.5546875" style="12" customWidth="1"/>
    <col min="4098" max="4099" width="16.5546875" style="12" customWidth="1"/>
    <col min="4100" max="4334" width="8.5546875" style="12"/>
    <col min="4335" max="4335" width="12.5546875" style="12" customWidth="1"/>
    <col min="4336" max="4336" width="75.5546875" style="12" customWidth="1"/>
    <col min="4337" max="4339" width="18.5546875" style="12" customWidth="1"/>
    <col min="4340" max="4340" width="16.5546875" style="12" customWidth="1"/>
    <col min="4341" max="4341" width="1.5546875" style="12" customWidth="1"/>
    <col min="4342" max="4342" width="16.5546875" style="12" customWidth="1"/>
    <col min="4343" max="4343" width="1.5546875" style="12" customWidth="1"/>
    <col min="4344" max="4344" width="16.5546875" style="12" customWidth="1"/>
    <col min="4345" max="4345" width="1.5546875" style="12" customWidth="1"/>
    <col min="4346" max="4346" width="16.5546875" style="12" customWidth="1"/>
    <col min="4347" max="4347" width="1.5546875" style="12" customWidth="1"/>
    <col min="4348" max="4348" width="16.5546875" style="12" customWidth="1"/>
    <col min="4349" max="4349" width="1.5546875" style="12" customWidth="1"/>
    <col min="4350" max="4350" width="16.5546875" style="12" customWidth="1"/>
    <col min="4351" max="4351" width="1.5546875" style="12" customWidth="1"/>
    <col min="4352" max="4352" width="16.5546875" style="12" customWidth="1"/>
    <col min="4353" max="4353" width="1.5546875" style="12" customWidth="1"/>
    <col min="4354" max="4355" width="16.5546875" style="12" customWidth="1"/>
    <col min="4356" max="4590" width="8.5546875" style="12"/>
    <col min="4591" max="4591" width="12.5546875" style="12" customWidth="1"/>
    <col min="4592" max="4592" width="75.5546875" style="12" customWidth="1"/>
    <col min="4593" max="4595" width="18.5546875" style="12" customWidth="1"/>
    <col min="4596" max="4596" width="16.5546875" style="12" customWidth="1"/>
    <col min="4597" max="4597" width="1.5546875" style="12" customWidth="1"/>
    <col min="4598" max="4598" width="16.5546875" style="12" customWidth="1"/>
    <col min="4599" max="4599" width="1.5546875" style="12" customWidth="1"/>
    <col min="4600" max="4600" width="16.5546875" style="12" customWidth="1"/>
    <col min="4601" max="4601" width="1.5546875" style="12" customWidth="1"/>
    <col min="4602" max="4602" width="16.5546875" style="12" customWidth="1"/>
    <col min="4603" max="4603" width="1.5546875" style="12" customWidth="1"/>
    <col min="4604" max="4604" width="16.5546875" style="12" customWidth="1"/>
    <col min="4605" max="4605" width="1.5546875" style="12" customWidth="1"/>
    <col min="4606" max="4606" width="16.5546875" style="12" customWidth="1"/>
    <col min="4607" max="4607" width="1.5546875" style="12" customWidth="1"/>
    <col min="4608" max="4608" width="16.5546875" style="12" customWidth="1"/>
    <col min="4609" max="4609" width="1.5546875" style="12" customWidth="1"/>
    <col min="4610" max="4611" width="16.5546875" style="12" customWidth="1"/>
    <col min="4612" max="4846" width="8.5546875" style="12"/>
    <col min="4847" max="4847" width="12.5546875" style="12" customWidth="1"/>
    <col min="4848" max="4848" width="75.5546875" style="12" customWidth="1"/>
    <col min="4849" max="4851" width="18.5546875" style="12" customWidth="1"/>
    <col min="4852" max="4852" width="16.5546875" style="12" customWidth="1"/>
    <col min="4853" max="4853" width="1.5546875" style="12" customWidth="1"/>
    <col min="4854" max="4854" width="16.5546875" style="12" customWidth="1"/>
    <col min="4855" max="4855" width="1.5546875" style="12" customWidth="1"/>
    <col min="4856" max="4856" width="16.5546875" style="12" customWidth="1"/>
    <col min="4857" max="4857" width="1.5546875" style="12" customWidth="1"/>
    <col min="4858" max="4858" width="16.5546875" style="12" customWidth="1"/>
    <col min="4859" max="4859" width="1.5546875" style="12" customWidth="1"/>
    <col min="4860" max="4860" width="16.5546875" style="12" customWidth="1"/>
    <col min="4861" max="4861" width="1.5546875" style="12" customWidth="1"/>
    <col min="4862" max="4862" width="16.5546875" style="12" customWidth="1"/>
    <col min="4863" max="4863" width="1.5546875" style="12" customWidth="1"/>
    <col min="4864" max="4864" width="16.5546875" style="12" customWidth="1"/>
    <col min="4865" max="4865" width="1.5546875" style="12" customWidth="1"/>
    <col min="4866" max="4867" width="16.5546875" style="12" customWidth="1"/>
    <col min="4868" max="5102" width="8.5546875" style="12"/>
    <col min="5103" max="5103" width="12.5546875" style="12" customWidth="1"/>
    <col min="5104" max="5104" width="75.5546875" style="12" customWidth="1"/>
    <col min="5105" max="5107" width="18.5546875" style="12" customWidth="1"/>
    <col min="5108" max="5108" width="16.5546875" style="12" customWidth="1"/>
    <col min="5109" max="5109" width="1.5546875" style="12" customWidth="1"/>
    <col min="5110" max="5110" width="16.5546875" style="12" customWidth="1"/>
    <col min="5111" max="5111" width="1.5546875" style="12" customWidth="1"/>
    <col min="5112" max="5112" width="16.5546875" style="12" customWidth="1"/>
    <col min="5113" max="5113" width="1.5546875" style="12" customWidth="1"/>
    <col min="5114" max="5114" width="16.5546875" style="12" customWidth="1"/>
    <col min="5115" max="5115" width="1.5546875" style="12" customWidth="1"/>
    <col min="5116" max="5116" width="16.5546875" style="12" customWidth="1"/>
    <col min="5117" max="5117" width="1.5546875" style="12" customWidth="1"/>
    <col min="5118" max="5118" width="16.5546875" style="12" customWidth="1"/>
    <col min="5119" max="5119" width="1.5546875" style="12" customWidth="1"/>
    <col min="5120" max="5120" width="16.5546875" style="12" customWidth="1"/>
    <col min="5121" max="5121" width="1.5546875" style="12" customWidth="1"/>
    <col min="5122" max="5123" width="16.5546875" style="12" customWidth="1"/>
    <col min="5124" max="5358" width="8.5546875" style="12"/>
    <col min="5359" max="5359" width="12.5546875" style="12" customWidth="1"/>
    <col min="5360" max="5360" width="75.5546875" style="12" customWidth="1"/>
    <col min="5361" max="5363" width="18.5546875" style="12" customWidth="1"/>
    <col min="5364" max="5364" width="16.5546875" style="12" customWidth="1"/>
    <col min="5365" max="5365" width="1.5546875" style="12" customWidth="1"/>
    <col min="5366" max="5366" width="16.5546875" style="12" customWidth="1"/>
    <col min="5367" max="5367" width="1.5546875" style="12" customWidth="1"/>
    <col min="5368" max="5368" width="16.5546875" style="12" customWidth="1"/>
    <col min="5369" max="5369" width="1.5546875" style="12" customWidth="1"/>
    <col min="5370" max="5370" width="16.5546875" style="12" customWidth="1"/>
    <col min="5371" max="5371" width="1.5546875" style="12" customWidth="1"/>
    <col min="5372" max="5372" width="16.5546875" style="12" customWidth="1"/>
    <col min="5373" max="5373" width="1.5546875" style="12" customWidth="1"/>
    <col min="5374" max="5374" width="16.5546875" style="12" customWidth="1"/>
    <col min="5375" max="5375" width="1.5546875" style="12" customWidth="1"/>
    <col min="5376" max="5376" width="16.5546875" style="12" customWidth="1"/>
    <col min="5377" max="5377" width="1.5546875" style="12" customWidth="1"/>
    <col min="5378" max="5379" width="16.5546875" style="12" customWidth="1"/>
    <col min="5380" max="5614" width="8.5546875" style="12"/>
    <col min="5615" max="5615" width="12.5546875" style="12" customWidth="1"/>
    <col min="5616" max="5616" width="75.5546875" style="12" customWidth="1"/>
    <col min="5617" max="5619" width="18.5546875" style="12" customWidth="1"/>
    <col min="5620" max="5620" width="16.5546875" style="12" customWidth="1"/>
    <col min="5621" max="5621" width="1.5546875" style="12" customWidth="1"/>
    <col min="5622" max="5622" width="16.5546875" style="12" customWidth="1"/>
    <col min="5623" max="5623" width="1.5546875" style="12" customWidth="1"/>
    <col min="5624" max="5624" width="16.5546875" style="12" customWidth="1"/>
    <col min="5625" max="5625" width="1.5546875" style="12" customWidth="1"/>
    <col min="5626" max="5626" width="16.5546875" style="12" customWidth="1"/>
    <col min="5627" max="5627" width="1.5546875" style="12" customWidth="1"/>
    <col min="5628" max="5628" width="16.5546875" style="12" customWidth="1"/>
    <col min="5629" max="5629" width="1.5546875" style="12" customWidth="1"/>
    <col min="5630" max="5630" width="16.5546875" style="12" customWidth="1"/>
    <col min="5631" max="5631" width="1.5546875" style="12" customWidth="1"/>
    <col min="5632" max="5632" width="16.5546875" style="12" customWidth="1"/>
    <col min="5633" max="5633" width="1.5546875" style="12" customWidth="1"/>
    <col min="5634" max="5635" width="16.5546875" style="12" customWidth="1"/>
    <col min="5636" max="5870" width="8.5546875" style="12"/>
    <col min="5871" max="5871" width="12.5546875" style="12" customWidth="1"/>
    <col min="5872" max="5872" width="75.5546875" style="12" customWidth="1"/>
    <col min="5873" max="5875" width="18.5546875" style="12" customWidth="1"/>
    <col min="5876" max="5876" width="16.5546875" style="12" customWidth="1"/>
    <col min="5877" max="5877" width="1.5546875" style="12" customWidth="1"/>
    <col min="5878" max="5878" width="16.5546875" style="12" customWidth="1"/>
    <col min="5879" max="5879" width="1.5546875" style="12" customWidth="1"/>
    <col min="5880" max="5880" width="16.5546875" style="12" customWidth="1"/>
    <col min="5881" max="5881" width="1.5546875" style="12" customWidth="1"/>
    <col min="5882" max="5882" width="16.5546875" style="12" customWidth="1"/>
    <col min="5883" max="5883" width="1.5546875" style="12" customWidth="1"/>
    <col min="5884" max="5884" width="16.5546875" style="12" customWidth="1"/>
    <col min="5885" max="5885" width="1.5546875" style="12" customWidth="1"/>
    <col min="5886" max="5886" width="16.5546875" style="12" customWidth="1"/>
    <col min="5887" max="5887" width="1.5546875" style="12" customWidth="1"/>
    <col min="5888" max="5888" width="16.5546875" style="12" customWidth="1"/>
    <col min="5889" max="5889" width="1.5546875" style="12" customWidth="1"/>
    <col min="5890" max="5891" width="16.5546875" style="12" customWidth="1"/>
    <col min="5892" max="6126" width="8.5546875" style="12"/>
    <col min="6127" max="6127" width="12.5546875" style="12" customWidth="1"/>
    <col min="6128" max="6128" width="75.5546875" style="12" customWidth="1"/>
    <col min="6129" max="6131" width="18.5546875" style="12" customWidth="1"/>
    <col min="6132" max="6132" width="16.5546875" style="12" customWidth="1"/>
    <col min="6133" max="6133" width="1.5546875" style="12" customWidth="1"/>
    <col min="6134" max="6134" width="16.5546875" style="12" customWidth="1"/>
    <col min="6135" max="6135" width="1.5546875" style="12" customWidth="1"/>
    <col min="6136" max="6136" width="16.5546875" style="12" customWidth="1"/>
    <col min="6137" max="6137" width="1.5546875" style="12" customWidth="1"/>
    <col min="6138" max="6138" width="16.5546875" style="12" customWidth="1"/>
    <col min="6139" max="6139" width="1.5546875" style="12" customWidth="1"/>
    <col min="6140" max="6140" width="16.5546875" style="12" customWidth="1"/>
    <col min="6141" max="6141" width="1.5546875" style="12" customWidth="1"/>
    <col min="6142" max="6142" width="16.5546875" style="12" customWidth="1"/>
    <col min="6143" max="6143" width="1.5546875" style="12" customWidth="1"/>
    <col min="6144" max="6144" width="16.5546875" style="12" customWidth="1"/>
    <col min="6145" max="6145" width="1.5546875" style="12" customWidth="1"/>
    <col min="6146" max="6147" width="16.5546875" style="12" customWidth="1"/>
    <col min="6148" max="6382" width="8.5546875" style="12"/>
    <col min="6383" max="6383" width="12.5546875" style="12" customWidth="1"/>
    <col min="6384" max="6384" width="75.5546875" style="12" customWidth="1"/>
    <col min="6385" max="6387" width="18.5546875" style="12" customWidth="1"/>
    <col min="6388" max="6388" width="16.5546875" style="12" customWidth="1"/>
    <col min="6389" max="6389" width="1.5546875" style="12" customWidth="1"/>
    <col min="6390" max="6390" width="16.5546875" style="12" customWidth="1"/>
    <col min="6391" max="6391" width="1.5546875" style="12" customWidth="1"/>
    <col min="6392" max="6392" width="16.5546875" style="12" customWidth="1"/>
    <col min="6393" max="6393" width="1.5546875" style="12" customWidth="1"/>
    <col min="6394" max="6394" width="16.5546875" style="12" customWidth="1"/>
    <col min="6395" max="6395" width="1.5546875" style="12" customWidth="1"/>
    <col min="6396" max="6396" width="16.5546875" style="12" customWidth="1"/>
    <col min="6397" max="6397" width="1.5546875" style="12" customWidth="1"/>
    <col min="6398" max="6398" width="16.5546875" style="12" customWidth="1"/>
    <col min="6399" max="6399" width="1.5546875" style="12" customWidth="1"/>
    <col min="6400" max="6400" width="16.5546875" style="12" customWidth="1"/>
    <col min="6401" max="6401" width="1.5546875" style="12" customWidth="1"/>
    <col min="6402" max="6403" width="16.5546875" style="12" customWidth="1"/>
    <col min="6404" max="6638" width="8.5546875" style="12"/>
    <col min="6639" max="6639" width="12.5546875" style="12" customWidth="1"/>
    <col min="6640" max="6640" width="75.5546875" style="12" customWidth="1"/>
    <col min="6641" max="6643" width="18.5546875" style="12" customWidth="1"/>
    <col min="6644" max="6644" width="16.5546875" style="12" customWidth="1"/>
    <col min="6645" max="6645" width="1.5546875" style="12" customWidth="1"/>
    <col min="6646" max="6646" width="16.5546875" style="12" customWidth="1"/>
    <col min="6647" max="6647" width="1.5546875" style="12" customWidth="1"/>
    <col min="6648" max="6648" width="16.5546875" style="12" customWidth="1"/>
    <col min="6649" max="6649" width="1.5546875" style="12" customWidth="1"/>
    <col min="6650" max="6650" width="16.5546875" style="12" customWidth="1"/>
    <col min="6651" max="6651" width="1.5546875" style="12" customWidth="1"/>
    <col min="6652" max="6652" width="16.5546875" style="12" customWidth="1"/>
    <col min="6653" max="6653" width="1.5546875" style="12" customWidth="1"/>
    <col min="6654" max="6654" width="16.5546875" style="12" customWidth="1"/>
    <col min="6655" max="6655" width="1.5546875" style="12" customWidth="1"/>
    <col min="6656" max="6656" width="16.5546875" style="12" customWidth="1"/>
    <col min="6657" max="6657" width="1.5546875" style="12" customWidth="1"/>
    <col min="6658" max="6659" width="16.5546875" style="12" customWidth="1"/>
    <col min="6660" max="6894" width="8.5546875" style="12"/>
    <col min="6895" max="6895" width="12.5546875" style="12" customWidth="1"/>
    <col min="6896" max="6896" width="75.5546875" style="12" customWidth="1"/>
    <col min="6897" max="6899" width="18.5546875" style="12" customWidth="1"/>
    <col min="6900" max="6900" width="16.5546875" style="12" customWidth="1"/>
    <col min="6901" max="6901" width="1.5546875" style="12" customWidth="1"/>
    <col min="6902" max="6902" width="16.5546875" style="12" customWidth="1"/>
    <col min="6903" max="6903" width="1.5546875" style="12" customWidth="1"/>
    <col min="6904" max="6904" width="16.5546875" style="12" customWidth="1"/>
    <col min="6905" max="6905" width="1.5546875" style="12" customWidth="1"/>
    <col min="6906" max="6906" width="16.5546875" style="12" customWidth="1"/>
    <col min="6907" max="6907" width="1.5546875" style="12" customWidth="1"/>
    <col min="6908" max="6908" width="16.5546875" style="12" customWidth="1"/>
    <col min="6909" max="6909" width="1.5546875" style="12" customWidth="1"/>
    <col min="6910" max="6910" width="16.5546875" style="12" customWidth="1"/>
    <col min="6911" max="6911" width="1.5546875" style="12" customWidth="1"/>
    <col min="6912" max="6912" width="16.5546875" style="12" customWidth="1"/>
    <col min="6913" max="6913" width="1.5546875" style="12" customWidth="1"/>
    <col min="6914" max="6915" width="16.5546875" style="12" customWidth="1"/>
    <col min="6916" max="7150" width="8.5546875" style="12"/>
    <col min="7151" max="7151" width="12.5546875" style="12" customWidth="1"/>
    <col min="7152" max="7152" width="75.5546875" style="12" customWidth="1"/>
    <col min="7153" max="7155" width="18.5546875" style="12" customWidth="1"/>
    <col min="7156" max="7156" width="16.5546875" style="12" customWidth="1"/>
    <col min="7157" max="7157" width="1.5546875" style="12" customWidth="1"/>
    <col min="7158" max="7158" width="16.5546875" style="12" customWidth="1"/>
    <col min="7159" max="7159" width="1.5546875" style="12" customWidth="1"/>
    <col min="7160" max="7160" width="16.5546875" style="12" customWidth="1"/>
    <col min="7161" max="7161" width="1.5546875" style="12" customWidth="1"/>
    <col min="7162" max="7162" width="16.5546875" style="12" customWidth="1"/>
    <col min="7163" max="7163" width="1.5546875" style="12" customWidth="1"/>
    <col min="7164" max="7164" width="16.5546875" style="12" customWidth="1"/>
    <col min="7165" max="7165" width="1.5546875" style="12" customWidth="1"/>
    <col min="7166" max="7166" width="16.5546875" style="12" customWidth="1"/>
    <col min="7167" max="7167" width="1.5546875" style="12" customWidth="1"/>
    <col min="7168" max="7168" width="16.5546875" style="12" customWidth="1"/>
    <col min="7169" max="7169" width="1.5546875" style="12" customWidth="1"/>
    <col min="7170" max="7171" width="16.5546875" style="12" customWidth="1"/>
    <col min="7172" max="7406" width="8.5546875" style="12"/>
    <col min="7407" max="7407" width="12.5546875" style="12" customWidth="1"/>
    <col min="7408" max="7408" width="75.5546875" style="12" customWidth="1"/>
    <col min="7409" max="7411" width="18.5546875" style="12" customWidth="1"/>
    <col min="7412" max="7412" width="16.5546875" style="12" customWidth="1"/>
    <col min="7413" max="7413" width="1.5546875" style="12" customWidth="1"/>
    <col min="7414" max="7414" width="16.5546875" style="12" customWidth="1"/>
    <col min="7415" max="7415" width="1.5546875" style="12" customWidth="1"/>
    <col min="7416" max="7416" width="16.5546875" style="12" customWidth="1"/>
    <col min="7417" max="7417" width="1.5546875" style="12" customWidth="1"/>
    <col min="7418" max="7418" width="16.5546875" style="12" customWidth="1"/>
    <col min="7419" max="7419" width="1.5546875" style="12" customWidth="1"/>
    <col min="7420" max="7420" width="16.5546875" style="12" customWidth="1"/>
    <col min="7421" max="7421" width="1.5546875" style="12" customWidth="1"/>
    <col min="7422" max="7422" width="16.5546875" style="12" customWidth="1"/>
    <col min="7423" max="7423" width="1.5546875" style="12" customWidth="1"/>
    <col min="7424" max="7424" width="16.5546875" style="12" customWidth="1"/>
    <col min="7425" max="7425" width="1.5546875" style="12" customWidth="1"/>
    <col min="7426" max="7427" width="16.5546875" style="12" customWidth="1"/>
    <col min="7428" max="7662" width="8.5546875" style="12"/>
    <col min="7663" max="7663" width="12.5546875" style="12" customWidth="1"/>
    <col min="7664" max="7664" width="75.5546875" style="12" customWidth="1"/>
    <col min="7665" max="7667" width="18.5546875" style="12" customWidth="1"/>
    <col min="7668" max="7668" width="16.5546875" style="12" customWidth="1"/>
    <col min="7669" max="7669" width="1.5546875" style="12" customWidth="1"/>
    <col min="7670" max="7670" width="16.5546875" style="12" customWidth="1"/>
    <col min="7671" max="7671" width="1.5546875" style="12" customWidth="1"/>
    <col min="7672" max="7672" width="16.5546875" style="12" customWidth="1"/>
    <col min="7673" max="7673" width="1.5546875" style="12" customWidth="1"/>
    <col min="7674" max="7674" width="16.5546875" style="12" customWidth="1"/>
    <col min="7675" max="7675" width="1.5546875" style="12" customWidth="1"/>
    <col min="7676" max="7676" width="16.5546875" style="12" customWidth="1"/>
    <col min="7677" max="7677" width="1.5546875" style="12" customWidth="1"/>
    <col min="7678" max="7678" width="16.5546875" style="12" customWidth="1"/>
    <col min="7679" max="7679" width="1.5546875" style="12" customWidth="1"/>
    <col min="7680" max="7680" width="16.5546875" style="12" customWidth="1"/>
    <col min="7681" max="7681" width="1.5546875" style="12" customWidth="1"/>
    <col min="7682" max="7683" width="16.5546875" style="12" customWidth="1"/>
    <col min="7684" max="7918" width="8.5546875" style="12"/>
    <col min="7919" max="7919" width="12.5546875" style="12" customWidth="1"/>
    <col min="7920" max="7920" width="75.5546875" style="12" customWidth="1"/>
    <col min="7921" max="7923" width="18.5546875" style="12" customWidth="1"/>
    <col min="7924" max="7924" width="16.5546875" style="12" customWidth="1"/>
    <col min="7925" max="7925" width="1.5546875" style="12" customWidth="1"/>
    <col min="7926" max="7926" width="16.5546875" style="12" customWidth="1"/>
    <col min="7927" max="7927" width="1.5546875" style="12" customWidth="1"/>
    <col min="7928" max="7928" width="16.5546875" style="12" customWidth="1"/>
    <col min="7929" max="7929" width="1.5546875" style="12" customWidth="1"/>
    <col min="7930" max="7930" width="16.5546875" style="12" customWidth="1"/>
    <col min="7931" max="7931" width="1.5546875" style="12" customWidth="1"/>
    <col min="7932" max="7932" width="16.5546875" style="12" customWidth="1"/>
    <col min="7933" max="7933" width="1.5546875" style="12" customWidth="1"/>
    <col min="7934" max="7934" width="16.5546875" style="12" customWidth="1"/>
    <col min="7935" max="7935" width="1.5546875" style="12" customWidth="1"/>
    <col min="7936" max="7936" width="16.5546875" style="12" customWidth="1"/>
    <col min="7937" max="7937" width="1.5546875" style="12" customWidth="1"/>
    <col min="7938" max="7939" width="16.5546875" style="12" customWidth="1"/>
    <col min="7940" max="8174" width="8.5546875" style="12"/>
    <col min="8175" max="8175" width="12.5546875" style="12" customWidth="1"/>
    <col min="8176" max="8176" width="75.5546875" style="12" customWidth="1"/>
    <col min="8177" max="8179" width="18.5546875" style="12" customWidth="1"/>
    <col min="8180" max="8180" width="16.5546875" style="12" customWidth="1"/>
    <col min="8181" max="8181" width="1.5546875" style="12" customWidth="1"/>
    <col min="8182" max="8182" width="16.5546875" style="12" customWidth="1"/>
    <col min="8183" max="8183" width="1.5546875" style="12" customWidth="1"/>
    <col min="8184" max="8184" width="16.5546875" style="12" customWidth="1"/>
    <col min="8185" max="8185" width="1.5546875" style="12" customWidth="1"/>
    <col min="8186" max="8186" width="16.5546875" style="12" customWidth="1"/>
    <col min="8187" max="8187" width="1.5546875" style="12" customWidth="1"/>
    <col min="8188" max="8188" width="16.5546875" style="12" customWidth="1"/>
    <col min="8189" max="8189" width="1.5546875" style="12" customWidth="1"/>
    <col min="8190" max="8190" width="16.5546875" style="12" customWidth="1"/>
    <col min="8191" max="8191" width="1.5546875" style="12" customWidth="1"/>
    <col min="8192" max="8192" width="16.5546875" style="12" customWidth="1"/>
    <col min="8193" max="8193" width="1.5546875" style="12" customWidth="1"/>
    <col min="8194" max="8195" width="16.5546875" style="12" customWidth="1"/>
    <col min="8196" max="8430" width="8.5546875" style="12"/>
    <col min="8431" max="8431" width="12.5546875" style="12" customWidth="1"/>
    <col min="8432" max="8432" width="75.5546875" style="12" customWidth="1"/>
    <col min="8433" max="8435" width="18.5546875" style="12" customWidth="1"/>
    <col min="8436" max="8436" width="16.5546875" style="12" customWidth="1"/>
    <col min="8437" max="8437" width="1.5546875" style="12" customWidth="1"/>
    <col min="8438" max="8438" width="16.5546875" style="12" customWidth="1"/>
    <col min="8439" max="8439" width="1.5546875" style="12" customWidth="1"/>
    <col min="8440" max="8440" width="16.5546875" style="12" customWidth="1"/>
    <col min="8441" max="8441" width="1.5546875" style="12" customWidth="1"/>
    <col min="8442" max="8442" width="16.5546875" style="12" customWidth="1"/>
    <col min="8443" max="8443" width="1.5546875" style="12" customWidth="1"/>
    <col min="8444" max="8444" width="16.5546875" style="12" customWidth="1"/>
    <col min="8445" max="8445" width="1.5546875" style="12" customWidth="1"/>
    <col min="8446" max="8446" width="16.5546875" style="12" customWidth="1"/>
    <col min="8447" max="8447" width="1.5546875" style="12" customWidth="1"/>
    <col min="8448" max="8448" width="16.5546875" style="12" customWidth="1"/>
    <col min="8449" max="8449" width="1.5546875" style="12" customWidth="1"/>
    <col min="8450" max="8451" width="16.5546875" style="12" customWidth="1"/>
    <col min="8452" max="8686" width="8.5546875" style="12"/>
    <col min="8687" max="8687" width="12.5546875" style="12" customWidth="1"/>
    <col min="8688" max="8688" width="75.5546875" style="12" customWidth="1"/>
    <col min="8689" max="8691" width="18.5546875" style="12" customWidth="1"/>
    <col min="8692" max="8692" width="16.5546875" style="12" customWidth="1"/>
    <col min="8693" max="8693" width="1.5546875" style="12" customWidth="1"/>
    <col min="8694" max="8694" width="16.5546875" style="12" customWidth="1"/>
    <col min="8695" max="8695" width="1.5546875" style="12" customWidth="1"/>
    <col min="8696" max="8696" width="16.5546875" style="12" customWidth="1"/>
    <col min="8697" max="8697" width="1.5546875" style="12" customWidth="1"/>
    <col min="8698" max="8698" width="16.5546875" style="12" customWidth="1"/>
    <col min="8699" max="8699" width="1.5546875" style="12" customWidth="1"/>
    <col min="8700" max="8700" width="16.5546875" style="12" customWidth="1"/>
    <col min="8701" max="8701" width="1.5546875" style="12" customWidth="1"/>
    <col min="8702" max="8702" width="16.5546875" style="12" customWidth="1"/>
    <col min="8703" max="8703" width="1.5546875" style="12" customWidth="1"/>
    <col min="8704" max="8704" width="16.5546875" style="12" customWidth="1"/>
    <col min="8705" max="8705" width="1.5546875" style="12" customWidth="1"/>
    <col min="8706" max="8707" width="16.5546875" style="12" customWidth="1"/>
    <col min="8708" max="8942" width="8.5546875" style="12"/>
    <col min="8943" max="8943" width="12.5546875" style="12" customWidth="1"/>
    <col min="8944" max="8944" width="75.5546875" style="12" customWidth="1"/>
    <col min="8945" max="8947" width="18.5546875" style="12" customWidth="1"/>
    <col min="8948" max="8948" width="16.5546875" style="12" customWidth="1"/>
    <col min="8949" max="8949" width="1.5546875" style="12" customWidth="1"/>
    <col min="8950" max="8950" width="16.5546875" style="12" customWidth="1"/>
    <col min="8951" max="8951" width="1.5546875" style="12" customWidth="1"/>
    <col min="8952" max="8952" width="16.5546875" style="12" customWidth="1"/>
    <col min="8953" max="8953" width="1.5546875" style="12" customWidth="1"/>
    <col min="8954" max="8954" width="16.5546875" style="12" customWidth="1"/>
    <col min="8955" max="8955" width="1.5546875" style="12" customWidth="1"/>
    <col min="8956" max="8956" width="16.5546875" style="12" customWidth="1"/>
    <col min="8957" max="8957" width="1.5546875" style="12" customWidth="1"/>
    <col min="8958" max="8958" width="16.5546875" style="12" customWidth="1"/>
    <col min="8959" max="8959" width="1.5546875" style="12" customWidth="1"/>
    <col min="8960" max="8960" width="16.5546875" style="12" customWidth="1"/>
    <col min="8961" max="8961" width="1.5546875" style="12" customWidth="1"/>
    <col min="8962" max="8963" width="16.5546875" style="12" customWidth="1"/>
    <col min="8964" max="9198" width="8.5546875" style="12"/>
    <col min="9199" max="9199" width="12.5546875" style="12" customWidth="1"/>
    <col min="9200" max="9200" width="75.5546875" style="12" customWidth="1"/>
    <col min="9201" max="9203" width="18.5546875" style="12" customWidth="1"/>
    <col min="9204" max="9204" width="16.5546875" style="12" customWidth="1"/>
    <col min="9205" max="9205" width="1.5546875" style="12" customWidth="1"/>
    <col min="9206" max="9206" width="16.5546875" style="12" customWidth="1"/>
    <col min="9207" max="9207" width="1.5546875" style="12" customWidth="1"/>
    <col min="9208" max="9208" width="16.5546875" style="12" customWidth="1"/>
    <col min="9209" max="9209" width="1.5546875" style="12" customWidth="1"/>
    <col min="9210" max="9210" width="16.5546875" style="12" customWidth="1"/>
    <col min="9211" max="9211" width="1.5546875" style="12" customWidth="1"/>
    <col min="9212" max="9212" width="16.5546875" style="12" customWidth="1"/>
    <col min="9213" max="9213" width="1.5546875" style="12" customWidth="1"/>
    <col min="9214" max="9214" width="16.5546875" style="12" customWidth="1"/>
    <col min="9215" max="9215" width="1.5546875" style="12" customWidth="1"/>
    <col min="9216" max="9216" width="16.5546875" style="12" customWidth="1"/>
    <col min="9217" max="9217" width="1.5546875" style="12" customWidth="1"/>
    <col min="9218" max="9219" width="16.5546875" style="12" customWidth="1"/>
    <col min="9220" max="9454" width="8.5546875" style="12"/>
    <col min="9455" max="9455" width="12.5546875" style="12" customWidth="1"/>
    <col min="9456" max="9456" width="75.5546875" style="12" customWidth="1"/>
    <col min="9457" max="9459" width="18.5546875" style="12" customWidth="1"/>
    <col min="9460" max="9460" width="16.5546875" style="12" customWidth="1"/>
    <col min="9461" max="9461" width="1.5546875" style="12" customWidth="1"/>
    <col min="9462" max="9462" width="16.5546875" style="12" customWidth="1"/>
    <col min="9463" max="9463" width="1.5546875" style="12" customWidth="1"/>
    <col min="9464" max="9464" width="16.5546875" style="12" customWidth="1"/>
    <col min="9465" max="9465" width="1.5546875" style="12" customWidth="1"/>
    <col min="9466" max="9466" width="16.5546875" style="12" customWidth="1"/>
    <col min="9467" max="9467" width="1.5546875" style="12" customWidth="1"/>
    <col min="9468" max="9468" width="16.5546875" style="12" customWidth="1"/>
    <col min="9469" max="9469" width="1.5546875" style="12" customWidth="1"/>
    <col min="9470" max="9470" width="16.5546875" style="12" customWidth="1"/>
    <col min="9471" max="9471" width="1.5546875" style="12" customWidth="1"/>
    <col min="9472" max="9472" width="16.5546875" style="12" customWidth="1"/>
    <col min="9473" max="9473" width="1.5546875" style="12" customWidth="1"/>
    <col min="9474" max="9475" width="16.5546875" style="12" customWidth="1"/>
    <col min="9476" max="9710" width="8.5546875" style="12"/>
    <col min="9711" max="9711" width="12.5546875" style="12" customWidth="1"/>
    <col min="9712" max="9712" width="75.5546875" style="12" customWidth="1"/>
    <col min="9713" max="9715" width="18.5546875" style="12" customWidth="1"/>
    <col min="9716" max="9716" width="16.5546875" style="12" customWidth="1"/>
    <col min="9717" max="9717" width="1.5546875" style="12" customWidth="1"/>
    <col min="9718" max="9718" width="16.5546875" style="12" customWidth="1"/>
    <col min="9719" max="9719" width="1.5546875" style="12" customWidth="1"/>
    <col min="9720" max="9720" width="16.5546875" style="12" customWidth="1"/>
    <col min="9721" max="9721" width="1.5546875" style="12" customWidth="1"/>
    <col min="9722" max="9722" width="16.5546875" style="12" customWidth="1"/>
    <col min="9723" max="9723" width="1.5546875" style="12" customWidth="1"/>
    <col min="9724" max="9724" width="16.5546875" style="12" customWidth="1"/>
    <col min="9725" max="9725" width="1.5546875" style="12" customWidth="1"/>
    <col min="9726" max="9726" width="16.5546875" style="12" customWidth="1"/>
    <col min="9727" max="9727" width="1.5546875" style="12" customWidth="1"/>
    <col min="9728" max="9728" width="16.5546875" style="12" customWidth="1"/>
    <col min="9729" max="9729" width="1.5546875" style="12" customWidth="1"/>
    <col min="9730" max="9731" width="16.5546875" style="12" customWidth="1"/>
    <col min="9732" max="9966" width="8.5546875" style="12"/>
    <col min="9967" max="9967" width="12.5546875" style="12" customWidth="1"/>
    <col min="9968" max="9968" width="75.5546875" style="12" customWidth="1"/>
    <col min="9969" max="9971" width="18.5546875" style="12" customWidth="1"/>
    <col min="9972" max="9972" width="16.5546875" style="12" customWidth="1"/>
    <col min="9973" max="9973" width="1.5546875" style="12" customWidth="1"/>
    <col min="9974" max="9974" width="16.5546875" style="12" customWidth="1"/>
    <col min="9975" max="9975" width="1.5546875" style="12" customWidth="1"/>
    <col min="9976" max="9976" width="16.5546875" style="12" customWidth="1"/>
    <col min="9977" max="9977" width="1.5546875" style="12" customWidth="1"/>
    <col min="9978" max="9978" width="16.5546875" style="12" customWidth="1"/>
    <col min="9979" max="9979" width="1.5546875" style="12" customWidth="1"/>
    <col min="9980" max="9980" width="16.5546875" style="12" customWidth="1"/>
    <col min="9981" max="9981" width="1.5546875" style="12" customWidth="1"/>
    <col min="9982" max="9982" width="16.5546875" style="12" customWidth="1"/>
    <col min="9983" max="9983" width="1.5546875" style="12" customWidth="1"/>
    <col min="9984" max="9984" width="16.5546875" style="12" customWidth="1"/>
    <col min="9985" max="9985" width="1.5546875" style="12" customWidth="1"/>
    <col min="9986" max="9987" width="16.5546875" style="12" customWidth="1"/>
    <col min="9988" max="10222" width="8.5546875" style="12"/>
    <col min="10223" max="10223" width="12.5546875" style="12" customWidth="1"/>
    <col min="10224" max="10224" width="75.5546875" style="12" customWidth="1"/>
    <col min="10225" max="10227" width="18.5546875" style="12" customWidth="1"/>
    <col min="10228" max="10228" width="16.5546875" style="12" customWidth="1"/>
    <col min="10229" max="10229" width="1.5546875" style="12" customWidth="1"/>
    <col min="10230" max="10230" width="16.5546875" style="12" customWidth="1"/>
    <col min="10231" max="10231" width="1.5546875" style="12" customWidth="1"/>
    <col min="10232" max="10232" width="16.5546875" style="12" customWidth="1"/>
    <col min="10233" max="10233" width="1.5546875" style="12" customWidth="1"/>
    <col min="10234" max="10234" width="16.5546875" style="12" customWidth="1"/>
    <col min="10235" max="10235" width="1.5546875" style="12" customWidth="1"/>
    <col min="10236" max="10236" width="16.5546875" style="12" customWidth="1"/>
    <col min="10237" max="10237" width="1.5546875" style="12" customWidth="1"/>
    <col min="10238" max="10238" width="16.5546875" style="12" customWidth="1"/>
    <col min="10239" max="10239" width="1.5546875" style="12" customWidth="1"/>
    <col min="10240" max="10240" width="16.5546875" style="12" customWidth="1"/>
    <col min="10241" max="10241" width="1.5546875" style="12" customWidth="1"/>
    <col min="10242" max="10243" width="16.5546875" style="12" customWidth="1"/>
    <col min="10244" max="10478" width="8.5546875" style="12"/>
    <col min="10479" max="10479" width="12.5546875" style="12" customWidth="1"/>
    <col min="10480" max="10480" width="75.5546875" style="12" customWidth="1"/>
    <col min="10481" max="10483" width="18.5546875" style="12" customWidth="1"/>
    <col min="10484" max="10484" width="16.5546875" style="12" customWidth="1"/>
    <col min="10485" max="10485" width="1.5546875" style="12" customWidth="1"/>
    <col min="10486" max="10486" width="16.5546875" style="12" customWidth="1"/>
    <col min="10487" max="10487" width="1.5546875" style="12" customWidth="1"/>
    <col min="10488" max="10488" width="16.5546875" style="12" customWidth="1"/>
    <col min="10489" max="10489" width="1.5546875" style="12" customWidth="1"/>
    <col min="10490" max="10490" width="16.5546875" style="12" customWidth="1"/>
    <col min="10491" max="10491" width="1.5546875" style="12" customWidth="1"/>
    <col min="10492" max="10492" width="16.5546875" style="12" customWidth="1"/>
    <col min="10493" max="10493" width="1.5546875" style="12" customWidth="1"/>
    <col min="10494" max="10494" width="16.5546875" style="12" customWidth="1"/>
    <col min="10495" max="10495" width="1.5546875" style="12" customWidth="1"/>
    <col min="10496" max="10496" width="16.5546875" style="12" customWidth="1"/>
    <col min="10497" max="10497" width="1.5546875" style="12" customWidth="1"/>
    <col min="10498" max="10499" width="16.5546875" style="12" customWidth="1"/>
    <col min="10500" max="10734" width="8.5546875" style="12"/>
    <col min="10735" max="10735" width="12.5546875" style="12" customWidth="1"/>
    <col min="10736" max="10736" width="75.5546875" style="12" customWidth="1"/>
    <col min="10737" max="10739" width="18.5546875" style="12" customWidth="1"/>
    <col min="10740" max="10740" width="16.5546875" style="12" customWidth="1"/>
    <col min="10741" max="10741" width="1.5546875" style="12" customWidth="1"/>
    <col min="10742" max="10742" width="16.5546875" style="12" customWidth="1"/>
    <col min="10743" max="10743" width="1.5546875" style="12" customWidth="1"/>
    <col min="10744" max="10744" width="16.5546875" style="12" customWidth="1"/>
    <col min="10745" max="10745" width="1.5546875" style="12" customWidth="1"/>
    <col min="10746" max="10746" width="16.5546875" style="12" customWidth="1"/>
    <col min="10747" max="10747" width="1.5546875" style="12" customWidth="1"/>
    <col min="10748" max="10748" width="16.5546875" style="12" customWidth="1"/>
    <col min="10749" max="10749" width="1.5546875" style="12" customWidth="1"/>
    <col min="10750" max="10750" width="16.5546875" style="12" customWidth="1"/>
    <col min="10751" max="10751" width="1.5546875" style="12" customWidth="1"/>
    <col min="10752" max="10752" width="16.5546875" style="12" customWidth="1"/>
    <col min="10753" max="10753" width="1.5546875" style="12" customWidth="1"/>
    <col min="10754" max="10755" width="16.5546875" style="12" customWidth="1"/>
    <col min="10756" max="10990" width="8.5546875" style="12"/>
    <col min="10991" max="10991" width="12.5546875" style="12" customWidth="1"/>
    <col min="10992" max="10992" width="75.5546875" style="12" customWidth="1"/>
    <col min="10993" max="10995" width="18.5546875" style="12" customWidth="1"/>
    <col min="10996" max="10996" width="16.5546875" style="12" customWidth="1"/>
    <col min="10997" max="10997" width="1.5546875" style="12" customWidth="1"/>
    <col min="10998" max="10998" width="16.5546875" style="12" customWidth="1"/>
    <col min="10999" max="10999" width="1.5546875" style="12" customWidth="1"/>
    <col min="11000" max="11000" width="16.5546875" style="12" customWidth="1"/>
    <col min="11001" max="11001" width="1.5546875" style="12" customWidth="1"/>
    <col min="11002" max="11002" width="16.5546875" style="12" customWidth="1"/>
    <col min="11003" max="11003" width="1.5546875" style="12" customWidth="1"/>
    <col min="11004" max="11004" width="16.5546875" style="12" customWidth="1"/>
    <col min="11005" max="11005" width="1.5546875" style="12" customWidth="1"/>
    <col min="11006" max="11006" width="16.5546875" style="12" customWidth="1"/>
    <col min="11007" max="11007" width="1.5546875" style="12" customWidth="1"/>
    <col min="11008" max="11008" width="16.5546875" style="12" customWidth="1"/>
    <col min="11009" max="11009" width="1.5546875" style="12" customWidth="1"/>
    <col min="11010" max="11011" width="16.5546875" style="12" customWidth="1"/>
    <col min="11012" max="11246" width="8.5546875" style="12"/>
    <col min="11247" max="11247" width="12.5546875" style="12" customWidth="1"/>
    <col min="11248" max="11248" width="75.5546875" style="12" customWidth="1"/>
    <col min="11249" max="11251" width="18.5546875" style="12" customWidth="1"/>
    <col min="11252" max="11252" width="16.5546875" style="12" customWidth="1"/>
    <col min="11253" max="11253" width="1.5546875" style="12" customWidth="1"/>
    <col min="11254" max="11254" width="16.5546875" style="12" customWidth="1"/>
    <col min="11255" max="11255" width="1.5546875" style="12" customWidth="1"/>
    <col min="11256" max="11256" width="16.5546875" style="12" customWidth="1"/>
    <col min="11257" max="11257" width="1.5546875" style="12" customWidth="1"/>
    <col min="11258" max="11258" width="16.5546875" style="12" customWidth="1"/>
    <col min="11259" max="11259" width="1.5546875" style="12" customWidth="1"/>
    <col min="11260" max="11260" width="16.5546875" style="12" customWidth="1"/>
    <col min="11261" max="11261" width="1.5546875" style="12" customWidth="1"/>
    <col min="11262" max="11262" width="16.5546875" style="12" customWidth="1"/>
    <col min="11263" max="11263" width="1.5546875" style="12" customWidth="1"/>
    <col min="11264" max="11264" width="16.5546875" style="12" customWidth="1"/>
    <col min="11265" max="11265" width="1.5546875" style="12" customWidth="1"/>
    <col min="11266" max="11267" width="16.5546875" style="12" customWidth="1"/>
    <col min="11268" max="11502" width="8.5546875" style="12"/>
    <col min="11503" max="11503" width="12.5546875" style="12" customWidth="1"/>
    <col min="11504" max="11504" width="75.5546875" style="12" customWidth="1"/>
    <col min="11505" max="11507" width="18.5546875" style="12" customWidth="1"/>
    <col min="11508" max="11508" width="16.5546875" style="12" customWidth="1"/>
    <col min="11509" max="11509" width="1.5546875" style="12" customWidth="1"/>
    <col min="11510" max="11510" width="16.5546875" style="12" customWidth="1"/>
    <col min="11511" max="11511" width="1.5546875" style="12" customWidth="1"/>
    <col min="11512" max="11512" width="16.5546875" style="12" customWidth="1"/>
    <col min="11513" max="11513" width="1.5546875" style="12" customWidth="1"/>
    <col min="11514" max="11514" width="16.5546875" style="12" customWidth="1"/>
    <col min="11515" max="11515" width="1.5546875" style="12" customWidth="1"/>
    <col min="11516" max="11516" width="16.5546875" style="12" customWidth="1"/>
    <col min="11517" max="11517" width="1.5546875" style="12" customWidth="1"/>
    <col min="11518" max="11518" width="16.5546875" style="12" customWidth="1"/>
    <col min="11519" max="11519" width="1.5546875" style="12" customWidth="1"/>
    <col min="11520" max="11520" width="16.5546875" style="12" customWidth="1"/>
    <col min="11521" max="11521" width="1.5546875" style="12" customWidth="1"/>
    <col min="11522" max="11523" width="16.5546875" style="12" customWidth="1"/>
    <col min="11524" max="11758" width="8.5546875" style="12"/>
    <col min="11759" max="11759" width="12.5546875" style="12" customWidth="1"/>
    <col min="11760" max="11760" width="75.5546875" style="12" customWidth="1"/>
    <col min="11761" max="11763" width="18.5546875" style="12" customWidth="1"/>
    <col min="11764" max="11764" width="16.5546875" style="12" customWidth="1"/>
    <col min="11765" max="11765" width="1.5546875" style="12" customWidth="1"/>
    <col min="11766" max="11766" width="16.5546875" style="12" customWidth="1"/>
    <col min="11767" max="11767" width="1.5546875" style="12" customWidth="1"/>
    <col min="11768" max="11768" width="16.5546875" style="12" customWidth="1"/>
    <col min="11769" max="11769" width="1.5546875" style="12" customWidth="1"/>
    <col min="11770" max="11770" width="16.5546875" style="12" customWidth="1"/>
    <col min="11771" max="11771" width="1.5546875" style="12" customWidth="1"/>
    <col min="11772" max="11772" width="16.5546875" style="12" customWidth="1"/>
    <col min="11773" max="11773" width="1.5546875" style="12" customWidth="1"/>
    <col min="11774" max="11774" width="16.5546875" style="12" customWidth="1"/>
    <col min="11775" max="11775" width="1.5546875" style="12" customWidth="1"/>
    <col min="11776" max="11776" width="16.5546875" style="12" customWidth="1"/>
    <col min="11777" max="11777" width="1.5546875" style="12" customWidth="1"/>
    <col min="11778" max="11779" width="16.5546875" style="12" customWidth="1"/>
    <col min="11780" max="12014" width="8.5546875" style="12"/>
    <col min="12015" max="12015" width="12.5546875" style="12" customWidth="1"/>
    <col min="12016" max="12016" width="75.5546875" style="12" customWidth="1"/>
    <col min="12017" max="12019" width="18.5546875" style="12" customWidth="1"/>
    <col min="12020" max="12020" width="16.5546875" style="12" customWidth="1"/>
    <col min="12021" max="12021" width="1.5546875" style="12" customWidth="1"/>
    <col min="12022" max="12022" width="16.5546875" style="12" customWidth="1"/>
    <col min="12023" max="12023" width="1.5546875" style="12" customWidth="1"/>
    <col min="12024" max="12024" width="16.5546875" style="12" customWidth="1"/>
    <col min="12025" max="12025" width="1.5546875" style="12" customWidth="1"/>
    <col min="12026" max="12026" width="16.5546875" style="12" customWidth="1"/>
    <col min="12027" max="12027" width="1.5546875" style="12" customWidth="1"/>
    <col min="12028" max="12028" width="16.5546875" style="12" customWidth="1"/>
    <col min="12029" max="12029" width="1.5546875" style="12" customWidth="1"/>
    <col min="12030" max="12030" width="16.5546875" style="12" customWidth="1"/>
    <col min="12031" max="12031" width="1.5546875" style="12" customWidth="1"/>
    <col min="12032" max="12032" width="16.5546875" style="12" customWidth="1"/>
    <col min="12033" max="12033" width="1.5546875" style="12" customWidth="1"/>
    <col min="12034" max="12035" width="16.5546875" style="12" customWidth="1"/>
    <col min="12036" max="12270" width="8.5546875" style="12"/>
    <col min="12271" max="12271" width="12.5546875" style="12" customWidth="1"/>
    <col min="12272" max="12272" width="75.5546875" style="12" customWidth="1"/>
    <col min="12273" max="12275" width="18.5546875" style="12" customWidth="1"/>
    <col min="12276" max="12276" width="16.5546875" style="12" customWidth="1"/>
    <col min="12277" max="12277" width="1.5546875" style="12" customWidth="1"/>
    <col min="12278" max="12278" width="16.5546875" style="12" customWidth="1"/>
    <col min="12279" max="12279" width="1.5546875" style="12" customWidth="1"/>
    <col min="12280" max="12280" width="16.5546875" style="12" customWidth="1"/>
    <col min="12281" max="12281" width="1.5546875" style="12" customWidth="1"/>
    <col min="12282" max="12282" width="16.5546875" style="12" customWidth="1"/>
    <col min="12283" max="12283" width="1.5546875" style="12" customWidth="1"/>
    <col min="12284" max="12284" width="16.5546875" style="12" customWidth="1"/>
    <col min="12285" max="12285" width="1.5546875" style="12" customWidth="1"/>
    <col min="12286" max="12286" width="16.5546875" style="12" customWidth="1"/>
    <col min="12287" max="12287" width="1.5546875" style="12" customWidth="1"/>
    <col min="12288" max="12288" width="16.5546875" style="12" customWidth="1"/>
    <col min="12289" max="12289" width="1.5546875" style="12" customWidth="1"/>
    <col min="12290" max="12291" width="16.5546875" style="12" customWidth="1"/>
    <col min="12292" max="12526" width="8.5546875" style="12"/>
    <col min="12527" max="12527" width="12.5546875" style="12" customWidth="1"/>
    <col min="12528" max="12528" width="75.5546875" style="12" customWidth="1"/>
    <col min="12529" max="12531" width="18.5546875" style="12" customWidth="1"/>
    <col min="12532" max="12532" width="16.5546875" style="12" customWidth="1"/>
    <col min="12533" max="12533" width="1.5546875" style="12" customWidth="1"/>
    <col min="12534" max="12534" width="16.5546875" style="12" customWidth="1"/>
    <col min="12535" max="12535" width="1.5546875" style="12" customWidth="1"/>
    <col min="12536" max="12536" width="16.5546875" style="12" customWidth="1"/>
    <col min="12537" max="12537" width="1.5546875" style="12" customWidth="1"/>
    <col min="12538" max="12538" width="16.5546875" style="12" customWidth="1"/>
    <col min="12539" max="12539" width="1.5546875" style="12" customWidth="1"/>
    <col min="12540" max="12540" width="16.5546875" style="12" customWidth="1"/>
    <col min="12541" max="12541" width="1.5546875" style="12" customWidth="1"/>
    <col min="12542" max="12542" width="16.5546875" style="12" customWidth="1"/>
    <col min="12543" max="12543" width="1.5546875" style="12" customWidth="1"/>
    <col min="12544" max="12544" width="16.5546875" style="12" customWidth="1"/>
    <col min="12545" max="12545" width="1.5546875" style="12" customWidth="1"/>
    <col min="12546" max="12547" width="16.5546875" style="12" customWidth="1"/>
    <col min="12548" max="12782" width="8.5546875" style="12"/>
    <col min="12783" max="12783" width="12.5546875" style="12" customWidth="1"/>
    <col min="12784" max="12784" width="75.5546875" style="12" customWidth="1"/>
    <col min="12785" max="12787" width="18.5546875" style="12" customWidth="1"/>
    <col min="12788" max="12788" width="16.5546875" style="12" customWidth="1"/>
    <col min="12789" max="12789" width="1.5546875" style="12" customWidth="1"/>
    <col min="12790" max="12790" width="16.5546875" style="12" customWidth="1"/>
    <col min="12791" max="12791" width="1.5546875" style="12" customWidth="1"/>
    <col min="12792" max="12792" width="16.5546875" style="12" customWidth="1"/>
    <col min="12793" max="12793" width="1.5546875" style="12" customWidth="1"/>
    <col min="12794" max="12794" width="16.5546875" style="12" customWidth="1"/>
    <col min="12795" max="12795" width="1.5546875" style="12" customWidth="1"/>
    <col min="12796" max="12796" width="16.5546875" style="12" customWidth="1"/>
    <col min="12797" max="12797" width="1.5546875" style="12" customWidth="1"/>
    <col min="12798" max="12798" width="16.5546875" style="12" customWidth="1"/>
    <col min="12799" max="12799" width="1.5546875" style="12" customWidth="1"/>
    <col min="12800" max="12800" width="16.5546875" style="12" customWidth="1"/>
    <col min="12801" max="12801" width="1.5546875" style="12" customWidth="1"/>
    <col min="12802" max="12803" width="16.5546875" style="12" customWidth="1"/>
    <col min="12804" max="13038" width="8.5546875" style="12"/>
    <col min="13039" max="13039" width="12.5546875" style="12" customWidth="1"/>
    <col min="13040" max="13040" width="75.5546875" style="12" customWidth="1"/>
    <col min="13041" max="13043" width="18.5546875" style="12" customWidth="1"/>
    <col min="13044" max="13044" width="16.5546875" style="12" customWidth="1"/>
    <col min="13045" max="13045" width="1.5546875" style="12" customWidth="1"/>
    <col min="13046" max="13046" width="16.5546875" style="12" customWidth="1"/>
    <col min="13047" max="13047" width="1.5546875" style="12" customWidth="1"/>
    <col min="13048" max="13048" width="16.5546875" style="12" customWidth="1"/>
    <col min="13049" max="13049" width="1.5546875" style="12" customWidth="1"/>
    <col min="13050" max="13050" width="16.5546875" style="12" customWidth="1"/>
    <col min="13051" max="13051" width="1.5546875" style="12" customWidth="1"/>
    <col min="13052" max="13052" width="16.5546875" style="12" customWidth="1"/>
    <col min="13053" max="13053" width="1.5546875" style="12" customWidth="1"/>
    <col min="13054" max="13054" width="16.5546875" style="12" customWidth="1"/>
    <col min="13055" max="13055" width="1.5546875" style="12" customWidth="1"/>
    <col min="13056" max="13056" width="16.5546875" style="12" customWidth="1"/>
    <col min="13057" max="13057" width="1.5546875" style="12" customWidth="1"/>
    <col min="13058" max="13059" width="16.5546875" style="12" customWidth="1"/>
    <col min="13060" max="13294" width="8.5546875" style="12"/>
    <col min="13295" max="13295" width="12.5546875" style="12" customWidth="1"/>
    <col min="13296" max="13296" width="75.5546875" style="12" customWidth="1"/>
    <col min="13297" max="13299" width="18.5546875" style="12" customWidth="1"/>
    <col min="13300" max="13300" width="16.5546875" style="12" customWidth="1"/>
    <col min="13301" max="13301" width="1.5546875" style="12" customWidth="1"/>
    <col min="13302" max="13302" width="16.5546875" style="12" customWidth="1"/>
    <col min="13303" max="13303" width="1.5546875" style="12" customWidth="1"/>
    <col min="13304" max="13304" width="16.5546875" style="12" customWidth="1"/>
    <col min="13305" max="13305" width="1.5546875" style="12" customWidth="1"/>
    <col min="13306" max="13306" width="16.5546875" style="12" customWidth="1"/>
    <col min="13307" max="13307" width="1.5546875" style="12" customWidth="1"/>
    <col min="13308" max="13308" width="16.5546875" style="12" customWidth="1"/>
    <col min="13309" max="13309" width="1.5546875" style="12" customWidth="1"/>
    <col min="13310" max="13310" width="16.5546875" style="12" customWidth="1"/>
    <col min="13311" max="13311" width="1.5546875" style="12" customWidth="1"/>
    <col min="13312" max="13312" width="16.5546875" style="12" customWidth="1"/>
    <col min="13313" max="13313" width="1.5546875" style="12" customWidth="1"/>
    <col min="13314" max="13315" width="16.5546875" style="12" customWidth="1"/>
    <col min="13316" max="13550" width="8.5546875" style="12"/>
    <col min="13551" max="13551" width="12.5546875" style="12" customWidth="1"/>
    <col min="13552" max="13552" width="75.5546875" style="12" customWidth="1"/>
    <col min="13553" max="13555" width="18.5546875" style="12" customWidth="1"/>
    <col min="13556" max="13556" width="16.5546875" style="12" customWidth="1"/>
    <col min="13557" max="13557" width="1.5546875" style="12" customWidth="1"/>
    <col min="13558" max="13558" width="16.5546875" style="12" customWidth="1"/>
    <col min="13559" max="13559" width="1.5546875" style="12" customWidth="1"/>
    <col min="13560" max="13560" width="16.5546875" style="12" customWidth="1"/>
    <col min="13561" max="13561" width="1.5546875" style="12" customWidth="1"/>
    <col min="13562" max="13562" width="16.5546875" style="12" customWidth="1"/>
    <col min="13563" max="13563" width="1.5546875" style="12" customWidth="1"/>
    <col min="13564" max="13564" width="16.5546875" style="12" customWidth="1"/>
    <col min="13565" max="13565" width="1.5546875" style="12" customWidth="1"/>
    <col min="13566" max="13566" width="16.5546875" style="12" customWidth="1"/>
    <col min="13567" max="13567" width="1.5546875" style="12" customWidth="1"/>
    <col min="13568" max="13568" width="16.5546875" style="12" customWidth="1"/>
    <col min="13569" max="13569" width="1.5546875" style="12" customWidth="1"/>
    <col min="13570" max="13571" width="16.5546875" style="12" customWidth="1"/>
    <col min="13572" max="13806" width="8.5546875" style="12"/>
    <col min="13807" max="13807" width="12.5546875" style="12" customWidth="1"/>
    <col min="13808" max="13808" width="75.5546875" style="12" customWidth="1"/>
    <col min="13809" max="13811" width="18.5546875" style="12" customWidth="1"/>
    <col min="13812" max="13812" width="16.5546875" style="12" customWidth="1"/>
    <col min="13813" max="13813" width="1.5546875" style="12" customWidth="1"/>
    <col min="13814" max="13814" width="16.5546875" style="12" customWidth="1"/>
    <col min="13815" max="13815" width="1.5546875" style="12" customWidth="1"/>
    <col min="13816" max="13816" width="16.5546875" style="12" customWidth="1"/>
    <col min="13817" max="13817" width="1.5546875" style="12" customWidth="1"/>
    <col min="13818" max="13818" width="16.5546875" style="12" customWidth="1"/>
    <col min="13819" max="13819" width="1.5546875" style="12" customWidth="1"/>
    <col min="13820" max="13820" width="16.5546875" style="12" customWidth="1"/>
    <col min="13821" max="13821" width="1.5546875" style="12" customWidth="1"/>
    <col min="13822" max="13822" width="16.5546875" style="12" customWidth="1"/>
    <col min="13823" max="13823" width="1.5546875" style="12" customWidth="1"/>
    <col min="13824" max="13824" width="16.5546875" style="12" customWidth="1"/>
    <col min="13825" max="13825" width="1.5546875" style="12" customWidth="1"/>
    <col min="13826" max="13827" width="16.5546875" style="12" customWidth="1"/>
    <col min="13828" max="14062" width="8.5546875" style="12"/>
    <col min="14063" max="14063" width="12.5546875" style="12" customWidth="1"/>
    <col min="14064" max="14064" width="75.5546875" style="12" customWidth="1"/>
    <col min="14065" max="14067" width="18.5546875" style="12" customWidth="1"/>
    <col min="14068" max="14068" width="16.5546875" style="12" customWidth="1"/>
    <col min="14069" max="14069" width="1.5546875" style="12" customWidth="1"/>
    <col min="14070" max="14070" width="16.5546875" style="12" customWidth="1"/>
    <col min="14071" max="14071" width="1.5546875" style="12" customWidth="1"/>
    <col min="14072" max="14072" width="16.5546875" style="12" customWidth="1"/>
    <col min="14073" max="14073" width="1.5546875" style="12" customWidth="1"/>
    <col min="14074" max="14074" width="16.5546875" style="12" customWidth="1"/>
    <col min="14075" max="14075" width="1.5546875" style="12" customWidth="1"/>
    <col min="14076" max="14076" width="16.5546875" style="12" customWidth="1"/>
    <col min="14077" max="14077" width="1.5546875" style="12" customWidth="1"/>
    <col min="14078" max="14078" width="16.5546875" style="12" customWidth="1"/>
    <col min="14079" max="14079" width="1.5546875" style="12" customWidth="1"/>
    <col min="14080" max="14080" width="16.5546875" style="12" customWidth="1"/>
    <col min="14081" max="14081" width="1.5546875" style="12" customWidth="1"/>
    <col min="14082" max="14083" width="16.5546875" style="12" customWidth="1"/>
    <col min="14084" max="14318" width="8.5546875" style="12"/>
    <col min="14319" max="14319" width="12.5546875" style="12" customWidth="1"/>
    <col min="14320" max="14320" width="75.5546875" style="12" customWidth="1"/>
    <col min="14321" max="14323" width="18.5546875" style="12" customWidth="1"/>
    <col min="14324" max="14324" width="16.5546875" style="12" customWidth="1"/>
    <col min="14325" max="14325" width="1.5546875" style="12" customWidth="1"/>
    <col min="14326" max="14326" width="16.5546875" style="12" customWidth="1"/>
    <col min="14327" max="14327" width="1.5546875" style="12" customWidth="1"/>
    <col min="14328" max="14328" width="16.5546875" style="12" customWidth="1"/>
    <col min="14329" max="14329" width="1.5546875" style="12" customWidth="1"/>
    <col min="14330" max="14330" width="16.5546875" style="12" customWidth="1"/>
    <col min="14331" max="14331" width="1.5546875" style="12" customWidth="1"/>
    <col min="14332" max="14332" width="16.5546875" style="12" customWidth="1"/>
    <col min="14333" max="14333" width="1.5546875" style="12" customWidth="1"/>
    <col min="14334" max="14334" width="16.5546875" style="12" customWidth="1"/>
    <col min="14335" max="14335" width="1.5546875" style="12" customWidth="1"/>
    <col min="14336" max="14336" width="16.5546875" style="12" customWidth="1"/>
    <col min="14337" max="14337" width="1.5546875" style="12" customWidth="1"/>
    <col min="14338" max="14339" width="16.5546875" style="12" customWidth="1"/>
    <col min="14340" max="14574" width="8.5546875" style="12"/>
    <col min="14575" max="14575" width="12.5546875" style="12" customWidth="1"/>
    <col min="14576" max="14576" width="75.5546875" style="12" customWidth="1"/>
    <col min="14577" max="14579" width="18.5546875" style="12" customWidth="1"/>
    <col min="14580" max="14580" width="16.5546875" style="12" customWidth="1"/>
    <col min="14581" max="14581" width="1.5546875" style="12" customWidth="1"/>
    <col min="14582" max="14582" width="16.5546875" style="12" customWidth="1"/>
    <col min="14583" max="14583" width="1.5546875" style="12" customWidth="1"/>
    <col min="14584" max="14584" width="16.5546875" style="12" customWidth="1"/>
    <col min="14585" max="14585" width="1.5546875" style="12" customWidth="1"/>
    <col min="14586" max="14586" width="16.5546875" style="12" customWidth="1"/>
    <col min="14587" max="14587" width="1.5546875" style="12" customWidth="1"/>
    <col min="14588" max="14588" width="16.5546875" style="12" customWidth="1"/>
    <col min="14589" max="14589" width="1.5546875" style="12" customWidth="1"/>
    <col min="14590" max="14590" width="16.5546875" style="12" customWidth="1"/>
    <col min="14591" max="14591" width="1.5546875" style="12" customWidth="1"/>
    <col min="14592" max="14592" width="16.5546875" style="12" customWidth="1"/>
    <col min="14593" max="14593" width="1.5546875" style="12" customWidth="1"/>
    <col min="14594" max="14595" width="16.5546875" style="12" customWidth="1"/>
    <col min="14596" max="14830" width="8.5546875" style="12"/>
    <col min="14831" max="14831" width="12.5546875" style="12" customWidth="1"/>
    <col min="14832" max="14832" width="75.5546875" style="12" customWidth="1"/>
    <col min="14833" max="14835" width="18.5546875" style="12" customWidth="1"/>
    <col min="14836" max="14836" width="16.5546875" style="12" customWidth="1"/>
    <col min="14837" max="14837" width="1.5546875" style="12" customWidth="1"/>
    <col min="14838" max="14838" width="16.5546875" style="12" customWidth="1"/>
    <col min="14839" max="14839" width="1.5546875" style="12" customWidth="1"/>
    <col min="14840" max="14840" width="16.5546875" style="12" customWidth="1"/>
    <col min="14841" max="14841" width="1.5546875" style="12" customWidth="1"/>
    <col min="14842" max="14842" width="16.5546875" style="12" customWidth="1"/>
    <col min="14843" max="14843" width="1.5546875" style="12" customWidth="1"/>
    <col min="14844" max="14844" width="16.5546875" style="12" customWidth="1"/>
    <col min="14845" max="14845" width="1.5546875" style="12" customWidth="1"/>
    <col min="14846" max="14846" width="16.5546875" style="12" customWidth="1"/>
    <col min="14847" max="14847" width="1.5546875" style="12" customWidth="1"/>
    <col min="14848" max="14848" width="16.5546875" style="12" customWidth="1"/>
    <col min="14849" max="14849" width="1.5546875" style="12" customWidth="1"/>
    <col min="14850" max="14851" width="16.5546875" style="12" customWidth="1"/>
    <col min="14852" max="15086" width="8.5546875" style="12"/>
    <col min="15087" max="15087" width="12.5546875" style="12" customWidth="1"/>
    <col min="15088" max="15088" width="75.5546875" style="12" customWidth="1"/>
    <col min="15089" max="15091" width="18.5546875" style="12" customWidth="1"/>
    <col min="15092" max="15092" width="16.5546875" style="12" customWidth="1"/>
    <col min="15093" max="15093" width="1.5546875" style="12" customWidth="1"/>
    <col min="15094" max="15094" width="16.5546875" style="12" customWidth="1"/>
    <col min="15095" max="15095" width="1.5546875" style="12" customWidth="1"/>
    <col min="15096" max="15096" width="16.5546875" style="12" customWidth="1"/>
    <col min="15097" max="15097" width="1.5546875" style="12" customWidth="1"/>
    <col min="15098" max="15098" width="16.5546875" style="12" customWidth="1"/>
    <col min="15099" max="15099" width="1.5546875" style="12" customWidth="1"/>
    <col min="15100" max="15100" width="16.5546875" style="12" customWidth="1"/>
    <col min="15101" max="15101" width="1.5546875" style="12" customWidth="1"/>
    <col min="15102" max="15102" width="16.5546875" style="12" customWidth="1"/>
    <col min="15103" max="15103" width="1.5546875" style="12" customWidth="1"/>
    <col min="15104" max="15104" width="16.5546875" style="12" customWidth="1"/>
    <col min="15105" max="15105" width="1.5546875" style="12" customWidth="1"/>
    <col min="15106" max="15107" width="16.5546875" style="12" customWidth="1"/>
    <col min="15108" max="15342" width="8.5546875" style="12"/>
    <col min="15343" max="15343" width="12.5546875" style="12" customWidth="1"/>
    <col min="15344" max="15344" width="75.5546875" style="12" customWidth="1"/>
    <col min="15345" max="15347" width="18.5546875" style="12" customWidth="1"/>
    <col min="15348" max="15348" width="16.5546875" style="12" customWidth="1"/>
    <col min="15349" max="15349" width="1.5546875" style="12" customWidth="1"/>
    <col min="15350" max="15350" width="16.5546875" style="12" customWidth="1"/>
    <col min="15351" max="15351" width="1.5546875" style="12" customWidth="1"/>
    <col min="15352" max="15352" width="16.5546875" style="12" customWidth="1"/>
    <col min="15353" max="15353" width="1.5546875" style="12" customWidth="1"/>
    <col min="15354" max="15354" width="16.5546875" style="12" customWidth="1"/>
    <col min="15355" max="15355" width="1.5546875" style="12" customWidth="1"/>
    <col min="15356" max="15356" width="16.5546875" style="12" customWidth="1"/>
    <col min="15357" max="15357" width="1.5546875" style="12" customWidth="1"/>
    <col min="15358" max="15358" width="16.5546875" style="12" customWidth="1"/>
    <col min="15359" max="15359" width="1.5546875" style="12" customWidth="1"/>
    <col min="15360" max="15360" width="16.5546875" style="12" customWidth="1"/>
    <col min="15361" max="15361" width="1.5546875" style="12" customWidth="1"/>
    <col min="15362" max="15363" width="16.5546875" style="12" customWidth="1"/>
    <col min="15364" max="15598" width="8.5546875" style="12"/>
    <col min="15599" max="15599" width="12.5546875" style="12" customWidth="1"/>
    <col min="15600" max="15600" width="75.5546875" style="12" customWidth="1"/>
    <col min="15601" max="15603" width="18.5546875" style="12" customWidth="1"/>
    <col min="15604" max="15604" width="16.5546875" style="12" customWidth="1"/>
    <col min="15605" max="15605" width="1.5546875" style="12" customWidth="1"/>
    <col min="15606" max="15606" width="16.5546875" style="12" customWidth="1"/>
    <col min="15607" max="15607" width="1.5546875" style="12" customWidth="1"/>
    <col min="15608" max="15608" width="16.5546875" style="12" customWidth="1"/>
    <col min="15609" max="15609" width="1.5546875" style="12" customWidth="1"/>
    <col min="15610" max="15610" width="16.5546875" style="12" customWidth="1"/>
    <col min="15611" max="15611" width="1.5546875" style="12" customWidth="1"/>
    <col min="15612" max="15612" width="16.5546875" style="12" customWidth="1"/>
    <col min="15613" max="15613" width="1.5546875" style="12" customWidth="1"/>
    <col min="15614" max="15614" width="16.5546875" style="12" customWidth="1"/>
    <col min="15615" max="15615" width="1.5546875" style="12" customWidth="1"/>
    <col min="15616" max="15616" width="16.5546875" style="12" customWidth="1"/>
    <col min="15617" max="15617" width="1.5546875" style="12" customWidth="1"/>
    <col min="15618" max="15619" width="16.5546875" style="12" customWidth="1"/>
    <col min="15620" max="15854" width="8.5546875" style="12"/>
    <col min="15855" max="15855" width="12.5546875" style="12" customWidth="1"/>
    <col min="15856" max="15856" width="75.5546875" style="12" customWidth="1"/>
    <col min="15857" max="15859" width="18.5546875" style="12" customWidth="1"/>
    <col min="15860" max="15860" width="16.5546875" style="12" customWidth="1"/>
    <col min="15861" max="15861" width="1.5546875" style="12" customWidth="1"/>
    <col min="15862" max="15862" width="16.5546875" style="12" customWidth="1"/>
    <col min="15863" max="15863" width="1.5546875" style="12" customWidth="1"/>
    <col min="15864" max="15864" width="16.5546875" style="12" customWidth="1"/>
    <col min="15865" max="15865" width="1.5546875" style="12" customWidth="1"/>
    <col min="15866" max="15866" width="16.5546875" style="12" customWidth="1"/>
    <col min="15867" max="15867" width="1.5546875" style="12" customWidth="1"/>
    <col min="15868" max="15868" width="16.5546875" style="12" customWidth="1"/>
    <col min="15869" max="15869" width="1.5546875" style="12" customWidth="1"/>
    <col min="15870" max="15870" width="16.5546875" style="12" customWidth="1"/>
    <col min="15871" max="15871" width="1.5546875" style="12" customWidth="1"/>
    <col min="15872" max="15872" width="16.5546875" style="12" customWidth="1"/>
    <col min="15873" max="15873" width="1.5546875" style="12" customWidth="1"/>
    <col min="15874" max="15875" width="16.5546875" style="12" customWidth="1"/>
    <col min="15876" max="16110" width="8.5546875" style="12"/>
    <col min="16111" max="16111" width="12.5546875" style="12" customWidth="1"/>
    <col min="16112" max="16112" width="75.5546875" style="12" customWidth="1"/>
    <col min="16113" max="16115" width="18.5546875" style="12" customWidth="1"/>
    <col min="16116" max="16116" width="16.5546875" style="12" customWidth="1"/>
    <col min="16117" max="16117" width="1.5546875" style="12" customWidth="1"/>
    <col min="16118" max="16118" width="16.5546875" style="12" customWidth="1"/>
    <col min="16119" max="16119" width="1.5546875" style="12" customWidth="1"/>
    <col min="16120" max="16120" width="16.5546875" style="12" customWidth="1"/>
    <col min="16121" max="16121" width="1.5546875" style="12" customWidth="1"/>
    <col min="16122" max="16122" width="16.5546875" style="12" customWidth="1"/>
    <col min="16123" max="16123" width="1.5546875" style="12" customWidth="1"/>
    <col min="16124" max="16124" width="16.5546875" style="12" customWidth="1"/>
    <col min="16125" max="16125" width="1.5546875" style="12" customWidth="1"/>
    <col min="16126" max="16126" width="16.5546875" style="12" customWidth="1"/>
    <col min="16127" max="16127" width="1.5546875" style="12" customWidth="1"/>
    <col min="16128" max="16128" width="16.5546875" style="12" customWidth="1"/>
    <col min="16129" max="16129" width="1.5546875" style="12" customWidth="1"/>
    <col min="16130" max="16131" width="16.5546875" style="12" customWidth="1"/>
    <col min="16132" max="16384" width="8.5546875" style="12"/>
  </cols>
  <sheetData>
    <row r="1" spans="1:70" ht="15" customHeight="1" thickBot="1">
      <c r="D1" s="10"/>
      <c r="E1" s="11" t="s">
        <v>14</v>
      </c>
      <c r="F1" s="360" t="s">
        <v>552</v>
      </c>
      <c r="I1" s="255" t="s">
        <v>15</v>
      </c>
      <c r="J1" s="421"/>
      <c r="K1" s="421"/>
      <c r="L1" s="14">
        <f>SUM(I6:R6)</f>
        <v>21031482.102686483</v>
      </c>
      <c r="M1" s="15"/>
    </row>
    <row r="2" spans="1:70" ht="15" customHeight="1">
      <c r="D2" s="20"/>
      <c r="F2" s="370" t="s">
        <v>553</v>
      </c>
      <c r="I2" s="153"/>
      <c r="J2" s="182"/>
      <c r="K2" s="182"/>
      <c r="L2" s="182"/>
      <c r="M2" s="182"/>
      <c r="N2" s="182"/>
      <c r="O2" s="182"/>
      <c r="P2" s="182"/>
      <c r="Q2" s="182"/>
      <c r="R2" s="155"/>
    </row>
    <row r="3" spans="1:70" ht="15" customHeight="1">
      <c r="D3" s="179"/>
      <c r="E3" s="17" t="s">
        <v>4</v>
      </c>
      <c r="F3" s="362" t="s">
        <v>554</v>
      </c>
      <c r="I3" s="155"/>
      <c r="J3" s="182"/>
      <c r="K3" s="182"/>
      <c r="L3" s="182"/>
      <c r="M3" s="182"/>
      <c r="N3" s="182"/>
      <c r="O3" s="182"/>
      <c r="P3" s="182"/>
      <c r="Q3" s="182"/>
      <c r="R3" s="230"/>
    </row>
    <row r="4" spans="1:70" ht="15" customHeight="1">
      <c r="D4" s="180"/>
      <c r="E4" s="17" t="e">
        <f>#REF!</f>
        <v>#REF!</v>
      </c>
      <c r="F4" s="325" t="s">
        <v>488</v>
      </c>
      <c r="I4" s="20">
        <v>1</v>
      </c>
      <c r="J4" s="20">
        <f t="shared" ref="J4:R4" si="0">I4+1</f>
        <v>2</v>
      </c>
      <c r="K4" s="20">
        <f t="shared" si="0"/>
        <v>3</v>
      </c>
      <c r="L4" s="20">
        <f t="shared" si="0"/>
        <v>4</v>
      </c>
      <c r="M4" s="20">
        <f>+L4+1</f>
        <v>5</v>
      </c>
      <c r="N4" s="20">
        <f>+M4+1</f>
        <v>6</v>
      </c>
      <c r="O4" s="20">
        <f t="shared" si="0"/>
        <v>7</v>
      </c>
      <c r="P4" s="20">
        <f t="shared" si="0"/>
        <v>8</v>
      </c>
      <c r="Q4" s="20">
        <f t="shared" si="0"/>
        <v>9</v>
      </c>
      <c r="R4" s="20">
        <f t="shared" si="0"/>
        <v>10</v>
      </c>
    </row>
    <row r="5" spans="1:70" ht="15" customHeight="1">
      <c r="D5" s="181"/>
      <c r="E5" s="18"/>
      <c r="F5" s="363" t="s">
        <v>555</v>
      </c>
      <c r="I5" s="19" t="s">
        <v>16</v>
      </c>
      <c r="J5" s="20" t="s">
        <v>16</v>
      </c>
      <c r="K5" s="20" t="s">
        <v>16</v>
      </c>
      <c r="L5" s="20" t="s">
        <v>16</v>
      </c>
      <c r="M5" s="20" t="s">
        <v>16</v>
      </c>
      <c r="N5" s="19" t="s">
        <v>16</v>
      </c>
      <c r="O5" s="19" t="s">
        <v>16</v>
      </c>
      <c r="P5" s="20" t="s">
        <v>16</v>
      </c>
      <c r="Q5" s="20" t="s">
        <v>16</v>
      </c>
      <c r="R5" s="20" t="s">
        <v>16</v>
      </c>
    </row>
    <row r="6" spans="1:70" ht="15" customHeight="1">
      <c r="D6" s="182"/>
      <c r="E6" s="21"/>
      <c r="G6" s="1" t="s">
        <v>17</v>
      </c>
      <c r="H6" s="1"/>
      <c r="I6" s="22">
        <f t="shared" ref="I6:R6" si="1">SUM(I9:I57)-SUM(I58:I110)+SUM(I118:I141)</f>
        <v>-758068.22108383104</v>
      </c>
      <c r="J6" s="22">
        <f t="shared" si="1"/>
        <v>-1991010</v>
      </c>
      <c r="K6" s="22">
        <f t="shared" ref="K6" si="2">SUM(K9:K57)-SUM(K58:K110)+SUM(K118:K141)</f>
        <v>21282106.455112655</v>
      </c>
      <c r="L6" s="22">
        <f>SUM(L9:L57)-SUM(L58:L110)+SUM(L118:L141)</f>
        <v>511382</v>
      </c>
      <c r="M6" s="22">
        <f>SUM(M9:M57)-SUM(M58:M110)+SUM(M118:M141)</f>
        <v>-29245</v>
      </c>
      <c r="N6" s="22">
        <f t="shared" si="1"/>
        <v>-2926949.1831405908</v>
      </c>
      <c r="O6" s="22">
        <f t="shared" si="1"/>
        <v>-3540020.2300000004</v>
      </c>
      <c r="P6" s="22">
        <f t="shared" si="1"/>
        <v>23957000</v>
      </c>
      <c r="Q6" s="22">
        <f t="shared" ref="Q6" si="3">SUM(Q9:Q57)-SUM(Q58:Q110)+SUM(Q118:Q141)</f>
        <v>-10300954.679999998</v>
      </c>
      <c r="R6" s="22">
        <f t="shared" si="1"/>
        <v>-5172759.0382017521</v>
      </c>
    </row>
    <row r="7" spans="1:70" ht="48" customHeight="1" thickBot="1">
      <c r="A7" s="12" t="s">
        <v>448</v>
      </c>
      <c r="D7" s="23" t="s">
        <v>18</v>
      </c>
      <c r="E7" s="232" t="s">
        <v>314</v>
      </c>
      <c r="F7" s="374" t="str">
        <f>'Rate Base'!F7</f>
        <v>Unadjusted</v>
      </c>
      <c r="G7" s="23" t="s">
        <v>1929</v>
      </c>
      <c r="H7" s="184" t="str">
        <f>'Rate Base'!H7</f>
        <v>Adjusted</v>
      </c>
      <c r="I7" s="25" t="str">
        <f>'Rate Base'!I7</f>
        <v>Accumulated Deferred Income Taxes</v>
      </c>
      <c r="J7" s="25" t="str">
        <f>'Rate Base'!J7</f>
        <v>Build-Out Adjustment</v>
      </c>
      <c r="K7" s="25" t="str">
        <f>'Rate Base'!K7</f>
        <v xml:space="preserve">Citizens Acquisition Discount </v>
      </c>
      <c r="L7" s="25" t="str">
        <f>'Rate Base'!L7</f>
        <v>Delayed Unitization</v>
      </c>
      <c r="M7" s="25" t="str">
        <f>'Rate Base'!M7</f>
        <v xml:space="preserve">Fortis Rate Base Adjustment </v>
      </c>
      <c r="N7" s="25" t="str">
        <f>'Rate Base'!N7</f>
        <v>Golden Valley Pipeline</v>
      </c>
      <c r="O7" s="25" t="str">
        <f>'Rate Base'!O7</f>
        <v>Griffith Plant</v>
      </c>
      <c r="P7" s="25" t="str">
        <f>'Rate Base'!P7</f>
        <v>Post-Test Year Plant</v>
      </c>
      <c r="Q7" s="25" t="str">
        <f>'Rate Base'!Q7</f>
        <v>Southern Union Acquisition Premium</v>
      </c>
      <c r="R7" s="25" t="str">
        <f>'Rate Base'!R7</f>
        <v>Working Capital</v>
      </c>
    </row>
    <row r="8" spans="1:70" ht="12.75" customHeight="1" thickTop="1">
      <c r="D8" s="185"/>
      <c r="E8" s="20"/>
      <c r="F8" s="187"/>
      <c r="G8" s="187"/>
      <c r="H8" s="188"/>
      <c r="I8" s="26"/>
      <c r="J8" s="42"/>
      <c r="K8" s="42"/>
      <c r="L8" s="42"/>
      <c r="M8" s="42"/>
      <c r="N8" s="42"/>
      <c r="O8" s="42"/>
      <c r="P8" s="42"/>
      <c r="Q8" s="42"/>
      <c r="R8" s="26"/>
    </row>
    <row r="9" spans="1:70">
      <c r="D9" s="189"/>
      <c r="E9" s="190" t="s">
        <v>273</v>
      </c>
      <c r="F9" s="197"/>
      <c r="G9" s="32"/>
      <c r="H9" s="192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</row>
    <row r="10" spans="1:70">
      <c r="D10" s="189"/>
      <c r="E10" s="21" t="s">
        <v>133</v>
      </c>
      <c r="F10" s="197"/>
      <c r="G10" s="32"/>
      <c r="H10" s="192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</row>
    <row r="11" spans="1:70">
      <c r="A11" s="247" t="s">
        <v>509</v>
      </c>
      <c r="B11" s="247"/>
      <c r="C11" s="247"/>
      <c r="D11" s="189">
        <v>302</v>
      </c>
      <c r="E11" s="3" t="s">
        <v>99</v>
      </c>
      <c r="F11" s="373">
        <f>'RCN Data'!H10</f>
        <v>370542.08999999997</v>
      </c>
      <c r="G11" s="27">
        <f>SUM(I11:R11)</f>
        <v>-20652</v>
      </c>
      <c r="H11" s="31">
        <f>F11+G11</f>
        <v>349890.08999999997</v>
      </c>
      <c r="I11" s="27">
        <f>'Rate Base'!I11</f>
        <v>0</v>
      </c>
      <c r="J11" s="27">
        <f>'Rate Base'!J11</f>
        <v>0</v>
      </c>
      <c r="K11" s="27">
        <f>'Rate Base'!K11</f>
        <v>0</v>
      </c>
      <c r="L11" s="27">
        <f>'Rate Base'!L11</f>
        <v>0</v>
      </c>
      <c r="M11" s="27">
        <f>'Rate Base'!M11</f>
        <v>0</v>
      </c>
      <c r="N11" s="27">
        <f>'Rate Base'!N11</f>
        <v>0</v>
      </c>
      <c r="O11" s="27">
        <f>'Rate Base'!O11</f>
        <v>0</v>
      </c>
      <c r="P11" s="27">
        <f>'Rate Base'!P11</f>
        <v>0</v>
      </c>
      <c r="Q11" s="27">
        <f>'Rate Base'!Q11</f>
        <v>-20652</v>
      </c>
      <c r="R11" s="27">
        <f>'Rate Base'!R11</f>
        <v>0</v>
      </c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</row>
    <row r="12" spans="1:70">
      <c r="A12" s="247" t="s">
        <v>510</v>
      </c>
      <c r="B12" s="247"/>
      <c r="C12" s="247"/>
      <c r="D12" s="189">
        <v>303</v>
      </c>
      <c r="E12" s="3" t="s">
        <v>100</v>
      </c>
      <c r="F12" s="373">
        <f>'RCN Data'!H11</f>
        <v>85701.34</v>
      </c>
      <c r="G12" s="27">
        <f>SUM(I12:R12)</f>
        <v>1361035</v>
      </c>
      <c r="H12" s="31">
        <f>F12+G12</f>
        <v>1446736.34</v>
      </c>
      <c r="I12" s="27">
        <f>'Rate Base'!I12</f>
        <v>0</v>
      </c>
      <c r="J12" s="27">
        <f>'Rate Base'!J12</f>
        <v>0</v>
      </c>
      <c r="K12" s="27">
        <f>'Rate Base'!K12</f>
        <v>0</v>
      </c>
      <c r="L12" s="27">
        <f>'Rate Base'!L12</f>
        <v>0</v>
      </c>
      <c r="M12" s="27">
        <f>'Rate Base'!M12</f>
        <v>0</v>
      </c>
      <c r="N12" s="27">
        <f>'Rate Base'!N12</f>
        <v>0</v>
      </c>
      <c r="O12" s="27">
        <f>'Rate Base'!O12</f>
        <v>0</v>
      </c>
      <c r="P12" s="27">
        <f>'Rate Base'!P12</f>
        <v>1361035</v>
      </c>
      <c r="Q12" s="27">
        <f>'Rate Base'!Q12</f>
        <v>0</v>
      </c>
      <c r="R12" s="27">
        <f>'Rate Base'!R12</f>
        <v>0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</row>
    <row r="13" spans="1:70">
      <c r="A13" s="247"/>
      <c r="B13" s="247"/>
      <c r="C13" s="247"/>
      <c r="D13" s="189"/>
      <c r="E13" s="36" t="s">
        <v>260</v>
      </c>
      <c r="F13" s="195">
        <f>SUM(F11:F12)</f>
        <v>456243.42999999993</v>
      </c>
      <c r="G13" s="195">
        <f>SUM(G11:G12)</f>
        <v>1340383</v>
      </c>
      <c r="H13" s="196">
        <f>SUM(H11:H12)</f>
        <v>1796626.4300000002</v>
      </c>
      <c r="I13" s="27">
        <f>'Rate Base'!I13</f>
        <v>0</v>
      </c>
      <c r="J13" s="27">
        <f>'Rate Base'!J13</f>
        <v>0</v>
      </c>
      <c r="K13" s="27">
        <f>'Rate Base'!K13</f>
        <v>0</v>
      </c>
      <c r="L13" s="27">
        <f>'Rate Base'!L13</f>
        <v>0</v>
      </c>
      <c r="M13" s="27">
        <f>'Rate Base'!M13</f>
        <v>0</v>
      </c>
      <c r="N13" s="27">
        <f>'Rate Base'!N13</f>
        <v>0</v>
      </c>
      <c r="O13" s="27">
        <f>'Rate Base'!O13</f>
        <v>0</v>
      </c>
      <c r="P13" s="27">
        <f>'Rate Base'!P13</f>
        <v>0</v>
      </c>
      <c r="Q13" s="27">
        <f>'Rate Base'!Q13</f>
        <v>0</v>
      </c>
      <c r="R13" s="27">
        <f>'Rate Base'!R13</f>
        <v>0</v>
      </c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</row>
    <row r="14" spans="1:70">
      <c r="A14" s="247"/>
      <c r="B14" s="247"/>
      <c r="C14" s="247"/>
      <c r="D14" s="189"/>
      <c r="E14" s="37"/>
      <c r="F14" s="426"/>
      <c r="G14" s="199"/>
      <c r="H14" s="200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</row>
    <row r="15" spans="1:70">
      <c r="A15" s="247"/>
      <c r="B15" s="247"/>
      <c r="C15" s="247"/>
      <c r="D15" s="201"/>
      <c r="E15" s="21" t="s">
        <v>135</v>
      </c>
      <c r="F15" s="203"/>
      <c r="G15" s="203"/>
      <c r="H15" s="204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</row>
    <row r="16" spans="1:70">
      <c r="A16" s="247" t="s">
        <v>511</v>
      </c>
      <c r="B16" s="247"/>
      <c r="C16" s="247"/>
      <c r="D16" s="189">
        <v>365</v>
      </c>
      <c r="E16" s="3" t="s">
        <v>103</v>
      </c>
      <c r="F16" s="373">
        <f>'RCN Data'!H16</f>
        <v>102605.64000000001</v>
      </c>
      <c r="G16" s="27">
        <f>SUM(I16:R16)</f>
        <v>-14473.42</v>
      </c>
      <c r="H16" s="31">
        <f>F16+G16</f>
        <v>88132.220000000016</v>
      </c>
      <c r="I16" s="27">
        <f>'Rate Base'!I16</f>
        <v>0</v>
      </c>
      <c r="J16" s="27">
        <f>'Rate Base'!J16</f>
        <v>-4398</v>
      </c>
      <c r="K16" s="27">
        <f>'Rate Base'!K16</f>
        <v>0</v>
      </c>
      <c r="L16" s="27">
        <f>'Rate Base'!L16</f>
        <v>0</v>
      </c>
      <c r="M16" s="27">
        <f>'Rate Base'!M16</f>
        <v>0</v>
      </c>
      <c r="N16" s="27">
        <f>'Rate Base'!N16</f>
        <v>0</v>
      </c>
      <c r="O16" s="27">
        <f>'Rate Base'!O16</f>
        <v>-10075.42</v>
      </c>
      <c r="P16" s="27">
        <f>'Rate Base'!P16</f>
        <v>0</v>
      </c>
      <c r="Q16" s="27">
        <f>'Rate Base'!Q16</f>
        <v>0</v>
      </c>
      <c r="R16" s="27">
        <f>'Rate Base'!R16</f>
        <v>0</v>
      </c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</row>
    <row r="17" spans="1:18">
      <c r="A17" s="247" t="s">
        <v>512</v>
      </c>
      <c r="B17" s="247"/>
      <c r="C17" s="247"/>
      <c r="D17" s="189">
        <v>366</v>
      </c>
      <c r="E17" s="3" t="s">
        <v>104</v>
      </c>
      <c r="F17" s="373">
        <f>'RCN Data'!H17</f>
        <v>41674.21</v>
      </c>
      <c r="G17" s="27">
        <f>SUM(I17:R17)</f>
        <v>-927</v>
      </c>
      <c r="H17" s="31">
        <f>F17+G17</f>
        <v>40747.21</v>
      </c>
      <c r="I17" s="27">
        <f>'Rate Base'!I17</f>
        <v>0</v>
      </c>
      <c r="J17" s="27">
        <f>'Rate Base'!J17</f>
        <v>-927</v>
      </c>
      <c r="K17" s="27">
        <f>'Rate Base'!K17</f>
        <v>0</v>
      </c>
      <c r="L17" s="27">
        <f>'Rate Base'!L17</f>
        <v>0</v>
      </c>
      <c r="M17" s="27">
        <f>'Rate Base'!M17</f>
        <v>0</v>
      </c>
      <c r="N17" s="27">
        <f>'Rate Base'!N17</f>
        <v>0</v>
      </c>
      <c r="O17" s="27">
        <f>'Rate Base'!O17</f>
        <v>0</v>
      </c>
      <c r="P17" s="27">
        <f>'Rate Base'!P17</f>
        <v>0</v>
      </c>
      <c r="Q17" s="27">
        <f>'Rate Base'!Q17</f>
        <v>0</v>
      </c>
      <c r="R17" s="27">
        <f>'Rate Base'!R17</f>
        <v>0</v>
      </c>
    </row>
    <row r="18" spans="1:18">
      <c r="A18" s="247" t="s">
        <v>513</v>
      </c>
      <c r="B18" s="247"/>
      <c r="C18" s="247"/>
      <c r="D18" s="189">
        <v>367</v>
      </c>
      <c r="E18" s="3" t="s">
        <v>110</v>
      </c>
      <c r="F18" s="373">
        <f>'RCN Data'!H18</f>
        <v>61588173.359999992</v>
      </c>
      <c r="G18" s="27">
        <f>SUM(I18:R18)</f>
        <v>-4372069.9000000004</v>
      </c>
      <c r="H18" s="31">
        <f>F18+G18</f>
        <v>57216103.459999993</v>
      </c>
      <c r="I18" s="27">
        <f>'Rate Base'!I18</f>
        <v>0</v>
      </c>
      <c r="J18" s="27">
        <f>'Rate Base'!J18</f>
        <v>-951045</v>
      </c>
      <c r="K18" s="27">
        <f>'Rate Base'!K18</f>
        <v>0</v>
      </c>
      <c r="L18" s="27">
        <f>'Rate Base'!L18</f>
        <v>0</v>
      </c>
      <c r="M18" s="27">
        <f>'Rate Base'!M18</f>
        <v>0</v>
      </c>
      <c r="N18" s="27">
        <f>'Rate Base'!N18</f>
        <v>0</v>
      </c>
      <c r="O18" s="27">
        <f>'Rate Base'!O18</f>
        <v>-3421024.9</v>
      </c>
      <c r="P18" s="27">
        <f>'Rate Base'!P18</f>
        <v>0</v>
      </c>
      <c r="Q18" s="27">
        <f>'Rate Base'!Q18</f>
        <v>0</v>
      </c>
      <c r="R18" s="27">
        <f>'Rate Base'!R18</f>
        <v>0</v>
      </c>
    </row>
    <row r="19" spans="1:18">
      <c r="A19" s="247" t="s">
        <v>514</v>
      </c>
      <c r="B19" s="247"/>
      <c r="C19" s="247"/>
      <c r="D19" s="189">
        <v>369</v>
      </c>
      <c r="E19" s="3" t="s">
        <v>106</v>
      </c>
      <c r="F19" s="373">
        <f>'RCN Data'!H19</f>
        <v>10699058.99</v>
      </c>
      <c r="G19" s="27">
        <f>SUM(I19:R19)</f>
        <v>-2591944.15</v>
      </c>
      <c r="H19" s="31">
        <f>F19+G19</f>
        <v>8107114.8399999999</v>
      </c>
      <c r="I19" s="27">
        <f>'Rate Base'!I19</f>
        <v>0</v>
      </c>
      <c r="J19" s="27">
        <f>'Rate Base'!J19</f>
        <v>-148343</v>
      </c>
      <c r="K19" s="27">
        <f>'Rate Base'!K19</f>
        <v>0</v>
      </c>
      <c r="L19" s="27">
        <f>'Rate Base'!L19</f>
        <v>0</v>
      </c>
      <c r="M19" s="27">
        <f>'Rate Base'!M19</f>
        <v>0</v>
      </c>
      <c r="N19" s="27">
        <f>'Rate Base'!N19</f>
        <v>0</v>
      </c>
      <c r="O19" s="27">
        <f>'Rate Base'!O19</f>
        <v>-2443601.15</v>
      </c>
      <c r="P19" s="27">
        <f>'Rate Base'!P19</f>
        <v>0</v>
      </c>
      <c r="Q19" s="27">
        <f>'Rate Base'!Q19</f>
        <v>0</v>
      </c>
      <c r="R19" s="27">
        <f>'Rate Base'!R19</f>
        <v>0</v>
      </c>
    </row>
    <row r="20" spans="1:18">
      <c r="A20" s="247" t="s">
        <v>515</v>
      </c>
      <c r="B20" s="247"/>
      <c r="C20" s="247"/>
      <c r="D20" s="205">
        <v>371</v>
      </c>
      <c r="E20" s="3" t="s">
        <v>107</v>
      </c>
      <c r="F20" s="373">
        <f>'RCN Data'!H20</f>
        <v>183581.23</v>
      </c>
      <c r="G20" s="27">
        <f>SUM(I20:R20)</f>
        <v>-183581.23</v>
      </c>
      <c r="H20" s="31">
        <f>F20+G20</f>
        <v>0</v>
      </c>
      <c r="I20" s="27">
        <f>'Rate Base'!I20</f>
        <v>0</v>
      </c>
      <c r="J20" s="27">
        <f>'Rate Base'!J20</f>
        <v>0</v>
      </c>
      <c r="K20" s="27">
        <f>'Rate Base'!K20</f>
        <v>0</v>
      </c>
      <c r="L20" s="27">
        <f>'Rate Base'!L20</f>
        <v>0</v>
      </c>
      <c r="M20" s="27">
        <f>'Rate Base'!M20</f>
        <v>0</v>
      </c>
      <c r="N20" s="27">
        <f>'Rate Base'!N20</f>
        <v>0</v>
      </c>
      <c r="O20" s="27">
        <f>'Rate Base'!O20</f>
        <v>-183581.23</v>
      </c>
      <c r="P20" s="27">
        <f>'Rate Base'!P20</f>
        <v>0</v>
      </c>
      <c r="Q20" s="27">
        <f>'Rate Base'!Q20</f>
        <v>0</v>
      </c>
      <c r="R20" s="27">
        <f>'Rate Base'!R20</f>
        <v>0</v>
      </c>
    </row>
    <row r="21" spans="1:18">
      <c r="A21" s="247"/>
      <c r="B21" s="247"/>
      <c r="C21" s="247"/>
      <c r="D21" s="206"/>
      <c r="E21" s="36" t="s">
        <v>261</v>
      </c>
      <c r="F21" s="195">
        <f>SUM(F16:F20)</f>
        <v>72615093.429999992</v>
      </c>
      <c r="G21" s="207">
        <f>SUM(G16:G20)</f>
        <v>-7162995.7000000011</v>
      </c>
      <c r="H21" s="196">
        <f>SUM(H16:H20)</f>
        <v>65452097.729999989</v>
      </c>
      <c r="I21" s="27">
        <f>'Rate Base'!I21</f>
        <v>0</v>
      </c>
      <c r="J21" s="27">
        <f>'Rate Base'!J21</f>
        <v>0</v>
      </c>
      <c r="K21" s="27">
        <f>'Rate Base'!K21</f>
        <v>0</v>
      </c>
      <c r="L21" s="27">
        <f>'Rate Base'!L21</f>
        <v>0</v>
      </c>
      <c r="M21" s="27">
        <f>'Rate Base'!M21</f>
        <v>0</v>
      </c>
      <c r="N21" s="27">
        <f>'Rate Base'!N21</f>
        <v>0</v>
      </c>
      <c r="O21" s="27">
        <f>'Rate Base'!O21</f>
        <v>0</v>
      </c>
      <c r="P21" s="27">
        <f>'Rate Base'!P21</f>
        <v>0</v>
      </c>
      <c r="Q21" s="27">
        <f>'Rate Base'!Q21</f>
        <v>0</v>
      </c>
      <c r="R21" s="27">
        <f>'Rate Base'!R21</f>
        <v>0</v>
      </c>
    </row>
    <row r="22" spans="1:18">
      <c r="A22" s="247"/>
      <c r="B22" s="247"/>
      <c r="C22" s="247"/>
      <c r="D22" s="206"/>
      <c r="E22" s="37"/>
      <c r="F22" s="426"/>
      <c r="G22" s="199"/>
      <c r="H22" s="200"/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8">
      <c r="A23" s="247"/>
      <c r="B23" s="247"/>
      <c r="C23" s="247"/>
      <c r="D23" s="206"/>
      <c r="E23" s="21" t="s">
        <v>136</v>
      </c>
      <c r="F23" s="197"/>
      <c r="G23" s="197"/>
      <c r="H23" s="192"/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8">
      <c r="A24" s="247" t="s">
        <v>516</v>
      </c>
      <c r="B24" s="247"/>
      <c r="C24" s="247"/>
      <c r="D24" s="205">
        <v>374</v>
      </c>
      <c r="E24" s="3" t="s">
        <v>103</v>
      </c>
      <c r="F24" s="373">
        <f>'RCN Data'!H25</f>
        <v>453130.97000000003</v>
      </c>
      <c r="G24" s="27">
        <f t="shared" ref="G24:G35" si="4">SUM(I24:R24)</f>
        <v>-4356</v>
      </c>
      <c r="H24" s="31">
        <f t="shared" ref="H24:H35" si="5">F24+G24</f>
        <v>448774.97000000003</v>
      </c>
      <c r="I24" s="27">
        <f>'Rate Base'!I24</f>
        <v>0</v>
      </c>
      <c r="J24" s="27">
        <f>'Rate Base'!J24</f>
        <v>-19413</v>
      </c>
      <c r="K24" s="27">
        <f>'Rate Base'!K24</f>
        <v>0</v>
      </c>
      <c r="L24" s="27">
        <f>'Rate Base'!L24</f>
        <v>0</v>
      </c>
      <c r="M24" s="27">
        <f>'Rate Base'!M24</f>
        <v>0</v>
      </c>
      <c r="N24" s="27">
        <f>'Rate Base'!N24</f>
        <v>0</v>
      </c>
      <c r="O24" s="27">
        <f>'Rate Base'!O24</f>
        <v>0</v>
      </c>
      <c r="P24" s="27">
        <f>'Rate Base'!P24</f>
        <v>15057</v>
      </c>
      <c r="Q24" s="27">
        <f>'Rate Base'!Q24</f>
        <v>0</v>
      </c>
      <c r="R24" s="27">
        <f>'Rate Base'!R24</f>
        <v>0</v>
      </c>
    </row>
    <row r="25" spans="1:18">
      <c r="A25" s="247" t="s">
        <v>517</v>
      </c>
      <c r="B25" s="247"/>
      <c r="C25" s="247"/>
      <c r="D25" s="189">
        <f>+D24+1</f>
        <v>375</v>
      </c>
      <c r="E25" s="3" t="s">
        <v>104</v>
      </c>
      <c r="F25" s="373">
        <f>'RCN Data'!H26</f>
        <v>224210.72000000003</v>
      </c>
      <c r="G25" s="27">
        <f t="shared" si="4"/>
        <v>18803</v>
      </c>
      <c r="H25" s="31">
        <f t="shared" si="5"/>
        <v>243013.72000000003</v>
      </c>
      <c r="I25" s="27">
        <f>'Rate Base'!I25</f>
        <v>0</v>
      </c>
      <c r="J25" s="27">
        <f>'Rate Base'!J25</f>
        <v>-6994</v>
      </c>
      <c r="K25" s="27">
        <f>'Rate Base'!K25</f>
        <v>0</v>
      </c>
      <c r="L25" s="27">
        <f>'Rate Base'!L25</f>
        <v>0</v>
      </c>
      <c r="M25" s="27">
        <f>'Rate Base'!M25</f>
        <v>0</v>
      </c>
      <c r="N25" s="27">
        <f>'Rate Base'!N25</f>
        <v>0</v>
      </c>
      <c r="O25" s="27">
        <f>'Rate Base'!O25</f>
        <v>0</v>
      </c>
      <c r="P25" s="27">
        <f>'Rate Base'!P25</f>
        <v>25797</v>
      </c>
      <c r="Q25" s="27">
        <f>'Rate Base'!Q25</f>
        <v>0</v>
      </c>
      <c r="R25" s="27">
        <f>'Rate Base'!R25</f>
        <v>0</v>
      </c>
    </row>
    <row r="26" spans="1:18">
      <c r="A26" s="247" t="s">
        <v>518</v>
      </c>
      <c r="B26" s="247"/>
      <c r="C26" s="247"/>
      <c r="D26" s="189">
        <f>+D25+1</f>
        <v>376</v>
      </c>
      <c r="E26" s="3" t="s">
        <v>110</v>
      </c>
      <c r="F26" s="373">
        <f>'RCN Data'!H27</f>
        <v>706017901.87947929</v>
      </c>
      <c r="G26" s="27">
        <f t="shared" si="4"/>
        <v>-16789057.573144499</v>
      </c>
      <c r="H26" s="31">
        <f t="shared" si="5"/>
        <v>689228844.30633473</v>
      </c>
      <c r="I26" s="27">
        <f>'Rate Base'!I26</f>
        <v>0</v>
      </c>
      <c r="J26" s="27">
        <f>'Rate Base'!J26</f>
        <v>-11122406</v>
      </c>
      <c r="K26" s="27">
        <f>'Rate Base'!K26</f>
        <v>0</v>
      </c>
      <c r="L26" s="27">
        <f>'Rate Base'!L26</f>
        <v>223153</v>
      </c>
      <c r="M26" s="27">
        <f>'Rate Base'!M26</f>
        <v>0</v>
      </c>
      <c r="N26" s="27">
        <f>'Rate Base'!N26</f>
        <v>-3327244.1231445004</v>
      </c>
      <c r="O26" s="27">
        <f>'Rate Base'!O26</f>
        <v>0</v>
      </c>
      <c r="P26" s="27">
        <f>'Rate Base'!P26</f>
        <v>9425786</v>
      </c>
      <c r="Q26" s="27">
        <f>'Rate Base'!Q26</f>
        <v>-11988346.449999999</v>
      </c>
      <c r="R26" s="27">
        <f>'Rate Base'!R26</f>
        <v>0</v>
      </c>
    </row>
    <row r="27" spans="1:18">
      <c r="A27" s="247" t="s">
        <v>519</v>
      </c>
      <c r="B27" s="247"/>
      <c r="C27" s="247"/>
      <c r="D27" s="189">
        <v>378</v>
      </c>
      <c r="E27" s="3" t="s">
        <v>111</v>
      </c>
      <c r="F27" s="373">
        <f>'RCN Data'!H28</f>
        <v>14886146.590000004</v>
      </c>
      <c r="G27" s="27">
        <f t="shared" si="4"/>
        <v>-273307.15000000002</v>
      </c>
      <c r="H27" s="31">
        <f t="shared" si="5"/>
        <v>14612839.440000003</v>
      </c>
      <c r="I27" s="27">
        <f>'Rate Base'!I27</f>
        <v>0</v>
      </c>
      <c r="J27" s="27">
        <f>'Rate Base'!J27</f>
        <v>-234187</v>
      </c>
      <c r="K27" s="27">
        <f>'Rate Base'!K27</f>
        <v>0</v>
      </c>
      <c r="L27" s="27">
        <f>'Rate Base'!L27</f>
        <v>9330</v>
      </c>
      <c r="M27" s="27">
        <f>'Rate Base'!M27</f>
        <v>0</v>
      </c>
      <c r="N27" s="27">
        <f>'Rate Base'!N27</f>
        <v>0</v>
      </c>
      <c r="O27" s="27">
        <f>'Rate Base'!O27</f>
        <v>0</v>
      </c>
      <c r="P27" s="27">
        <f>'Rate Base'!P27</f>
        <v>154988</v>
      </c>
      <c r="Q27" s="27">
        <f>'Rate Base'!Q27</f>
        <v>-203438.15</v>
      </c>
      <c r="R27" s="27">
        <f>'Rate Base'!R27</f>
        <v>0</v>
      </c>
    </row>
    <row r="28" spans="1:18">
      <c r="A28" s="247" t="s">
        <v>520</v>
      </c>
      <c r="B28" s="247"/>
      <c r="C28" s="247"/>
      <c r="D28" s="189">
        <f t="shared" ref="D28:D33" si="6">+D27+1</f>
        <v>379</v>
      </c>
      <c r="E28" s="3" t="s">
        <v>112</v>
      </c>
      <c r="F28" s="373">
        <f>'RCN Data'!H29</f>
        <v>15634463.600000005</v>
      </c>
      <c r="G28" s="27">
        <f t="shared" si="4"/>
        <v>-1407796.4814042002</v>
      </c>
      <c r="H28" s="31">
        <f t="shared" si="5"/>
        <v>14226667.118595805</v>
      </c>
      <c r="I28" s="27">
        <f>'Rate Base'!I28</f>
        <v>0</v>
      </c>
      <c r="J28" s="27">
        <f>'Rate Base'!J28</f>
        <v>-252568</v>
      </c>
      <c r="K28" s="27">
        <f>'Rate Base'!K28</f>
        <v>0</v>
      </c>
      <c r="L28" s="27">
        <f>'Rate Base'!L28</f>
        <v>0</v>
      </c>
      <c r="M28" s="27">
        <f>'Rate Base'!M28</f>
        <v>0</v>
      </c>
      <c r="N28" s="27">
        <f>'Rate Base'!N28</f>
        <v>-1078864.9914042002</v>
      </c>
      <c r="O28" s="27">
        <f>'Rate Base'!O28</f>
        <v>0</v>
      </c>
      <c r="P28" s="27">
        <f>'Rate Base'!P28</f>
        <v>190472</v>
      </c>
      <c r="Q28" s="27">
        <f>'Rate Base'!Q28</f>
        <v>-266835.49</v>
      </c>
      <c r="R28" s="27">
        <f>'Rate Base'!R28</f>
        <v>0</v>
      </c>
    </row>
    <row r="29" spans="1:18">
      <c r="A29" s="247" t="s">
        <v>521</v>
      </c>
      <c r="B29" s="247"/>
      <c r="C29" s="247"/>
      <c r="D29" s="189">
        <f t="shared" si="6"/>
        <v>380</v>
      </c>
      <c r="E29" s="3" t="s">
        <v>113</v>
      </c>
      <c r="F29" s="373">
        <f>'RCN Data'!H30</f>
        <v>335412412.56738287</v>
      </c>
      <c r="G29" s="27">
        <f t="shared" si="4"/>
        <v>1113794.8599999999</v>
      </c>
      <c r="H29" s="31">
        <f t="shared" si="5"/>
        <v>336526207.42738289</v>
      </c>
      <c r="I29" s="27">
        <f>'Rate Base'!I29</f>
        <v>0</v>
      </c>
      <c r="J29" s="27">
        <f>'Rate Base'!J29</f>
        <v>0</v>
      </c>
      <c r="K29" s="27">
        <f>'Rate Base'!K29</f>
        <v>0</v>
      </c>
      <c r="L29" s="27">
        <f>'Rate Base'!L29</f>
        <v>3950</v>
      </c>
      <c r="M29" s="27">
        <f>'Rate Base'!M29</f>
        <v>-43555</v>
      </c>
      <c r="N29" s="27">
        <f>'Rate Base'!N29</f>
        <v>0</v>
      </c>
      <c r="O29" s="27">
        <f>'Rate Base'!O29</f>
        <v>0</v>
      </c>
      <c r="P29" s="27">
        <f>'Rate Base'!P29</f>
        <v>4800095</v>
      </c>
      <c r="Q29" s="27">
        <f>'Rate Base'!Q29</f>
        <v>-3646695.14</v>
      </c>
      <c r="R29" s="27">
        <f>'Rate Base'!R29</f>
        <v>0</v>
      </c>
    </row>
    <row r="30" spans="1:18">
      <c r="A30" s="247" t="s">
        <v>522</v>
      </c>
      <c r="B30" s="247"/>
      <c r="C30" s="247"/>
      <c r="D30" s="189">
        <f t="shared" si="6"/>
        <v>381</v>
      </c>
      <c r="E30" s="3" t="s">
        <v>114</v>
      </c>
      <c r="F30" s="373">
        <f>'RCN Data'!H31</f>
        <v>75245408.140000001</v>
      </c>
      <c r="G30" s="27">
        <f t="shared" si="4"/>
        <v>1020937.06</v>
      </c>
      <c r="H30" s="31">
        <f t="shared" si="5"/>
        <v>76266345.200000003</v>
      </c>
      <c r="I30" s="27">
        <f>'Rate Base'!I30</f>
        <v>0</v>
      </c>
      <c r="J30" s="27">
        <f>'Rate Base'!J30</f>
        <v>0</v>
      </c>
      <c r="K30" s="27">
        <f>'Rate Base'!K30</f>
        <v>0</v>
      </c>
      <c r="L30" s="27">
        <f>'Rate Base'!L30</f>
        <v>0</v>
      </c>
      <c r="M30" s="27">
        <f>'Rate Base'!M30</f>
        <v>0</v>
      </c>
      <c r="N30" s="27">
        <f>'Rate Base'!N30</f>
        <v>0</v>
      </c>
      <c r="O30" s="27">
        <f>'Rate Base'!O30</f>
        <v>0</v>
      </c>
      <c r="P30" s="27">
        <f>'Rate Base'!P30</f>
        <v>1867380</v>
      </c>
      <c r="Q30" s="27">
        <f>'Rate Base'!Q30</f>
        <v>-846442.94</v>
      </c>
      <c r="R30" s="27">
        <f>'Rate Base'!R30</f>
        <v>0</v>
      </c>
    </row>
    <row r="31" spans="1:18">
      <c r="A31" s="247" t="s">
        <v>523</v>
      </c>
      <c r="B31" s="247"/>
      <c r="C31" s="247"/>
      <c r="D31" s="189">
        <f t="shared" si="6"/>
        <v>382</v>
      </c>
      <c r="E31" s="3" t="s">
        <v>115</v>
      </c>
      <c r="F31" s="373">
        <f>'RCN Data'!H32</f>
        <v>44175294.039999999</v>
      </c>
      <c r="G31" s="27">
        <f t="shared" si="4"/>
        <v>731206.64</v>
      </c>
      <c r="H31" s="31">
        <f t="shared" si="5"/>
        <v>44906500.68</v>
      </c>
      <c r="I31" s="27">
        <f>'Rate Base'!I31</f>
        <v>0</v>
      </c>
      <c r="J31" s="27">
        <f>'Rate Base'!J31</f>
        <v>0</v>
      </c>
      <c r="K31" s="27">
        <f>'Rate Base'!K31</f>
        <v>0</v>
      </c>
      <c r="L31" s="27">
        <f>'Rate Base'!L31</f>
        <v>0</v>
      </c>
      <c r="M31" s="27">
        <f>'Rate Base'!M31</f>
        <v>0</v>
      </c>
      <c r="N31" s="27">
        <f>'Rate Base'!N31</f>
        <v>0</v>
      </c>
      <c r="O31" s="27">
        <f>'Rate Base'!O31</f>
        <v>0</v>
      </c>
      <c r="P31" s="27">
        <f>'Rate Base'!P31</f>
        <v>737309</v>
      </c>
      <c r="Q31" s="27">
        <f>'Rate Base'!Q31</f>
        <v>-6102.36</v>
      </c>
      <c r="R31" s="27">
        <f>'Rate Base'!R31</f>
        <v>0</v>
      </c>
    </row>
    <row r="32" spans="1:18">
      <c r="A32" s="247" t="s">
        <v>524</v>
      </c>
      <c r="B32" s="247"/>
      <c r="C32" s="247"/>
      <c r="D32" s="189">
        <f t="shared" si="6"/>
        <v>383</v>
      </c>
      <c r="E32" s="3" t="s">
        <v>116</v>
      </c>
      <c r="F32" s="373">
        <f>'RCN Data'!H33</f>
        <v>10557902.589999994</v>
      </c>
      <c r="G32" s="27">
        <f t="shared" si="4"/>
        <v>275475.33</v>
      </c>
      <c r="H32" s="31">
        <f t="shared" si="5"/>
        <v>10833377.919999994</v>
      </c>
      <c r="I32" s="27">
        <f>'Rate Base'!I32</f>
        <v>0</v>
      </c>
      <c r="J32" s="27">
        <f>'Rate Base'!J32</f>
        <v>0</v>
      </c>
      <c r="K32" s="27">
        <f>'Rate Base'!K32</f>
        <v>0</v>
      </c>
      <c r="L32" s="27">
        <f>'Rate Base'!L32</f>
        <v>0</v>
      </c>
      <c r="M32" s="27">
        <f>'Rate Base'!M32</f>
        <v>0</v>
      </c>
      <c r="N32" s="27">
        <f>'Rate Base'!N32</f>
        <v>0</v>
      </c>
      <c r="O32" s="27">
        <f>'Rate Base'!O32</f>
        <v>0</v>
      </c>
      <c r="P32" s="27">
        <f>'Rate Base'!P32</f>
        <v>165650</v>
      </c>
      <c r="Q32" s="27">
        <f>'Rate Base'!Q32</f>
        <v>109825.33</v>
      </c>
      <c r="R32" s="27">
        <f>'Rate Base'!R32</f>
        <v>0</v>
      </c>
    </row>
    <row r="33" spans="1:18">
      <c r="A33" s="247" t="s">
        <v>525</v>
      </c>
      <c r="B33" s="247"/>
      <c r="C33" s="247"/>
      <c r="D33" s="189">
        <f t="shared" si="6"/>
        <v>384</v>
      </c>
      <c r="E33" s="3" t="s">
        <v>117</v>
      </c>
      <c r="F33" s="373">
        <f>'RCN Data'!H34</f>
        <v>11652680.819999995</v>
      </c>
      <c r="G33" s="27">
        <f t="shared" si="4"/>
        <v>198175</v>
      </c>
      <c r="H33" s="31">
        <f t="shared" si="5"/>
        <v>11850855.819999995</v>
      </c>
      <c r="I33" s="27">
        <f>'Rate Base'!I33</f>
        <v>0</v>
      </c>
      <c r="J33" s="27">
        <f>'Rate Base'!J33</f>
        <v>0</v>
      </c>
      <c r="K33" s="27">
        <f>'Rate Base'!K33</f>
        <v>0</v>
      </c>
      <c r="L33" s="27">
        <f>'Rate Base'!L33</f>
        <v>0</v>
      </c>
      <c r="M33" s="27">
        <f>'Rate Base'!M33</f>
        <v>0</v>
      </c>
      <c r="N33" s="27">
        <f>'Rate Base'!N33</f>
        <v>0</v>
      </c>
      <c r="O33" s="27">
        <f>'Rate Base'!O33</f>
        <v>0</v>
      </c>
      <c r="P33" s="27">
        <f>'Rate Base'!P33</f>
        <v>198175</v>
      </c>
      <c r="Q33" s="27">
        <f>'Rate Base'!Q33</f>
        <v>0</v>
      </c>
      <c r="R33" s="27">
        <f>'Rate Base'!R33</f>
        <v>0</v>
      </c>
    </row>
    <row r="34" spans="1:18">
      <c r="A34" s="247" t="s">
        <v>526</v>
      </c>
      <c r="B34" s="247"/>
      <c r="C34" s="247"/>
      <c r="D34" s="189">
        <v>385</v>
      </c>
      <c r="E34" s="3" t="s">
        <v>118</v>
      </c>
      <c r="F34" s="373">
        <f>'RCN Data'!H35</f>
        <v>2947401.9199999981</v>
      </c>
      <c r="G34" s="27">
        <f t="shared" si="4"/>
        <v>-210420.37</v>
      </c>
      <c r="H34" s="31">
        <f t="shared" si="5"/>
        <v>2736981.549999998</v>
      </c>
      <c r="I34" s="27">
        <f>'Rate Base'!I34</f>
        <v>0</v>
      </c>
      <c r="J34" s="27">
        <f>'Rate Base'!J34</f>
        <v>0</v>
      </c>
      <c r="K34" s="27">
        <f>'Rate Base'!K34</f>
        <v>0</v>
      </c>
      <c r="L34" s="27">
        <f>'Rate Base'!L34</f>
        <v>0</v>
      </c>
      <c r="M34" s="27">
        <f>'Rate Base'!M34</f>
        <v>0</v>
      </c>
      <c r="N34" s="27">
        <f>'Rate Base'!N34</f>
        <v>0</v>
      </c>
      <c r="O34" s="27">
        <f>'Rate Base'!O34</f>
        <v>-12609.37</v>
      </c>
      <c r="P34" s="27">
        <f>'Rate Base'!P34</f>
        <v>74556</v>
      </c>
      <c r="Q34" s="27">
        <f>'Rate Base'!Q34</f>
        <v>-272367</v>
      </c>
      <c r="R34" s="27">
        <f>'Rate Base'!R34</f>
        <v>0</v>
      </c>
    </row>
    <row r="35" spans="1:18">
      <c r="A35" s="247" t="s">
        <v>527</v>
      </c>
      <c r="B35" s="247"/>
      <c r="C35" s="247"/>
      <c r="D35" s="189">
        <v>387</v>
      </c>
      <c r="E35" s="3" t="s">
        <v>107</v>
      </c>
      <c r="F35" s="373">
        <f>'RCN Data'!H36</f>
        <v>2351689.9199999995</v>
      </c>
      <c r="G35" s="27">
        <f t="shared" si="4"/>
        <v>-304375</v>
      </c>
      <c r="H35" s="31">
        <f t="shared" si="5"/>
        <v>2047314.9199999995</v>
      </c>
      <c r="I35" s="27">
        <f>'Rate Base'!I35</f>
        <v>0</v>
      </c>
      <c r="J35" s="27">
        <f>'Rate Base'!J35</f>
        <v>-100809</v>
      </c>
      <c r="K35" s="27">
        <f>'Rate Base'!K35</f>
        <v>0</v>
      </c>
      <c r="L35" s="27">
        <f>'Rate Base'!L35</f>
        <v>0</v>
      </c>
      <c r="M35" s="27">
        <f>'Rate Base'!M35</f>
        <v>0</v>
      </c>
      <c r="N35" s="27">
        <f>'Rate Base'!N35</f>
        <v>0</v>
      </c>
      <c r="O35" s="27">
        <f>'Rate Base'!O35</f>
        <v>0</v>
      </c>
      <c r="P35" s="27">
        <f>'Rate Base'!P35</f>
        <v>-370</v>
      </c>
      <c r="Q35" s="27">
        <f>'Rate Base'!Q35</f>
        <v>-203196</v>
      </c>
      <c r="R35" s="27">
        <f>'Rate Base'!R35</f>
        <v>0</v>
      </c>
    </row>
    <row r="36" spans="1:18">
      <c r="A36" s="247"/>
      <c r="B36" s="247"/>
      <c r="C36" s="247"/>
      <c r="D36" s="206"/>
      <c r="E36" s="36" t="s">
        <v>262</v>
      </c>
      <c r="F36" s="195">
        <f>SUM(F24:F35)</f>
        <v>1219558643.7568624</v>
      </c>
      <c r="G36" s="195">
        <f>SUM(G24:G35)</f>
        <v>-15630920.684548697</v>
      </c>
      <c r="H36" s="196">
        <f>SUM(H24:H35)</f>
        <v>1203927723.0723138</v>
      </c>
      <c r="I36" s="27">
        <f>'Rate Base'!I36</f>
        <v>0</v>
      </c>
      <c r="J36" s="27">
        <f>'Rate Base'!J36</f>
        <v>0</v>
      </c>
      <c r="K36" s="27">
        <f>'Rate Base'!K36</f>
        <v>0</v>
      </c>
      <c r="L36" s="27">
        <f>'Rate Base'!L36</f>
        <v>0</v>
      </c>
      <c r="M36" s="27">
        <f>'Rate Base'!M36</f>
        <v>0</v>
      </c>
      <c r="N36" s="27">
        <f>'Rate Base'!N36</f>
        <v>0</v>
      </c>
      <c r="O36" s="27">
        <f>'Rate Base'!O36</f>
        <v>0</v>
      </c>
      <c r="P36" s="27">
        <f>'Rate Base'!P36</f>
        <v>0</v>
      </c>
      <c r="Q36" s="27">
        <f>'Rate Base'!Q36</f>
        <v>0</v>
      </c>
      <c r="R36" s="27">
        <f>'Rate Base'!R36</f>
        <v>0</v>
      </c>
    </row>
    <row r="37" spans="1:18">
      <c r="A37" s="247"/>
      <c r="B37" s="247"/>
      <c r="C37" s="247"/>
      <c r="D37" s="206"/>
      <c r="E37" s="21"/>
      <c r="F37" s="426"/>
      <c r="G37" s="209"/>
      <c r="H37" s="210"/>
      <c r="I37" s="27"/>
      <c r="J37" s="27"/>
      <c r="K37" s="27"/>
      <c r="L37" s="27"/>
      <c r="M37" s="27"/>
      <c r="N37" s="27"/>
      <c r="O37" s="27"/>
      <c r="P37" s="27"/>
      <c r="Q37" s="27"/>
      <c r="R37" s="27"/>
    </row>
    <row r="38" spans="1:18">
      <c r="A38" s="247"/>
      <c r="B38" s="247"/>
      <c r="C38" s="247"/>
      <c r="D38" s="206"/>
      <c r="E38" s="21" t="s">
        <v>137</v>
      </c>
      <c r="F38" s="197"/>
      <c r="G38" s="197"/>
      <c r="H38" s="192"/>
      <c r="I38" s="27"/>
      <c r="J38" s="27"/>
      <c r="K38" s="27"/>
      <c r="L38" s="27"/>
      <c r="M38" s="27"/>
      <c r="N38" s="27"/>
      <c r="O38" s="27"/>
      <c r="P38" s="27"/>
      <c r="Q38" s="27"/>
      <c r="R38" s="27"/>
    </row>
    <row r="39" spans="1:18">
      <c r="A39" s="247" t="s">
        <v>528</v>
      </c>
      <c r="B39" s="247"/>
      <c r="C39" s="247"/>
      <c r="D39" s="189">
        <v>389</v>
      </c>
      <c r="E39" s="3" t="s">
        <v>121</v>
      </c>
      <c r="F39" s="373">
        <f>'RCN Data'!H41</f>
        <v>1848700.9900000002</v>
      </c>
      <c r="G39" s="27">
        <f t="shared" ref="G39:G48" si="7">SUM(I39:R39)</f>
        <v>-133238.22</v>
      </c>
      <c r="H39" s="31">
        <f t="shared" ref="H39:H48" si="8">F39+G39</f>
        <v>1715462.7700000003</v>
      </c>
      <c r="I39" s="27">
        <f>'Rate Base'!I39</f>
        <v>0</v>
      </c>
      <c r="J39" s="27">
        <f>'Rate Base'!J39</f>
        <v>0</v>
      </c>
      <c r="K39" s="27">
        <f>'Rate Base'!K39</f>
        <v>0</v>
      </c>
      <c r="L39" s="27">
        <f>'Rate Base'!L39</f>
        <v>0</v>
      </c>
      <c r="M39" s="27">
        <f>'Rate Base'!M39</f>
        <v>0</v>
      </c>
      <c r="N39" s="27">
        <f>'Rate Base'!N39</f>
        <v>0</v>
      </c>
      <c r="O39" s="27">
        <f>'Rate Base'!O39</f>
        <v>0</v>
      </c>
      <c r="P39" s="27">
        <f>'Rate Base'!P39</f>
        <v>0</v>
      </c>
      <c r="Q39" s="27">
        <f>'Rate Base'!Q39</f>
        <v>-133238.22</v>
      </c>
      <c r="R39" s="27">
        <f>'Rate Base'!R39</f>
        <v>0</v>
      </c>
    </row>
    <row r="40" spans="1:18">
      <c r="A40" s="247" t="s">
        <v>529</v>
      </c>
      <c r="B40" s="247"/>
      <c r="C40" s="247"/>
      <c r="D40" s="189">
        <v>390</v>
      </c>
      <c r="E40" s="3" t="s">
        <v>104</v>
      </c>
      <c r="F40" s="373">
        <f>'RCN Data'!H42</f>
        <v>29993123.340000007</v>
      </c>
      <c r="G40" s="27">
        <f t="shared" si="7"/>
        <v>618596</v>
      </c>
      <c r="H40" s="31">
        <f t="shared" si="8"/>
        <v>30611719.340000007</v>
      </c>
      <c r="I40" s="27">
        <f>'Rate Base'!I40</f>
        <v>0</v>
      </c>
      <c r="J40" s="27">
        <f>'Rate Base'!J40</f>
        <v>0</v>
      </c>
      <c r="K40" s="27">
        <f>'Rate Base'!K40</f>
        <v>0</v>
      </c>
      <c r="L40" s="27">
        <f>'Rate Base'!L40</f>
        <v>626</v>
      </c>
      <c r="M40" s="27">
        <f>'Rate Base'!M40</f>
        <v>0</v>
      </c>
      <c r="N40" s="27">
        <f>'Rate Base'!N40</f>
        <v>0</v>
      </c>
      <c r="O40" s="27">
        <f>'Rate Base'!O40</f>
        <v>0</v>
      </c>
      <c r="P40" s="27">
        <f>'Rate Base'!P40</f>
        <v>791434</v>
      </c>
      <c r="Q40" s="27">
        <f>'Rate Base'!Q40</f>
        <v>-173464</v>
      </c>
      <c r="R40" s="27">
        <f>'Rate Base'!R40</f>
        <v>0</v>
      </c>
    </row>
    <row r="41" spans="1:18">
      <c r="A41" s="247" t="s">
        <v>530</v>
      </c>
      <c r="B41" s="247"/>
      <c r="C41" s="247"/>
      <c r="D41" s="189">
        <v>391</v>
      </c>
      <c r="E41" s="3" t="s">
        <v>122</v>
      </c>
      <c r="F41" s="373">
        <f>'RCN Data'!H43</f>
        <v>5108220.1900000013</v>
      </c>
      <c r="G41" s="27">
        <f t="shared" si="7"/>
        <v>769776</v>
      </c>
      <c r="H41" s="31">
        <f t="shared" si="8"/>
        <v>5877996.1900000013</v>
      </c>
      <c r="I41" s="27">
        <f>'Rate Base'!I41</f>
        <v>0</v>
      </c>
      <c r="J41" s="27">
        <f>'Rate Base'!J41</f>
        <v>0</v>
      </c>
      <c r="K41" s="27">
        <f>'Rate Base'!K41</f>
        <v>0</v>
      </c>
      <c r="L41" s="27">
        <f>'Rate Base'!L41</f>
        <v>0</v>
      </c>
      <c r="M41" s="27">
        <f>'Rate Base'!M41</f>
        <v>0</v>
      </c>
      <c r="N41" s="27">
        <f>'Rate Base'!N41</f>
        <v>0</v>
      </c>
      <c r="O41" s="27">
        <f>'Rate Base'!O41</f>
        <v>0</v>
      </c>
      <c r="P41" s="27">
        <f>'Rate Base'!P41</f>
        <v>769776</v>
      </c>
      <c r="Q41" s="27">
        <f>'Rate Base'!Q41</f>
        <v>0</v>
      </c>
      <c r="R41" s="27">
        <f>'Rate Base'!R41</f>
        <v>0</v>
      </c>
    </row>
    <row r="42" spans="1:18">
      <c r="A42" s="247" t="s">
        <v>531</v>
      </c>
      <c r="B42" s="247"/>
      <c r="C42" s="247"/>
      <c r="D42" s="189">
        <v>392</v>
      </c>
      <c r="E42" s="3" t="s">
        <v>123</v>
      </c>
      <c r="F42" s="373">
        <f>'RCN Data'!H44</f>
        <v>14566588.299999997</v>
      </c>
      <c r="G42" s="27">
        <f t="shared" si="7"/>
        <v>3219866</v>
      </c>
      <c r="H42" s="31">
        <f t="shared" si="8"/>
        <v>17786454.299999997</v>
      </c>
      <c r="I42" s="27">
        <f>'Rate Base'!I42</f>
        <v>0</v>
      </c>
      <c r="J42" s="27">
        <f>'Rate Base'!J42</f>
        <v>0</v>
      </c>
      <c r="K42" s="27">
        <f>'Rate Base'!K42</f>
        <v>0</v>
      </c>
      <c r="L42" s="27">
        <f>'Rate Base'!L42</f>
        <v>275872</v>
      </c>
      <c r="M42" s="27">
        <f>'Rate Base'!M42</f>
        <v>0</v>
      </c>
      <c r="N42" s="27">
        <f>'Rate Base'!N42</f>
        <v>0</v>
      </c>
      <c r="O42" s="27">
        <f>'Rate Base'!O42</f>
        <v>0</v>
      </c>
      <c r="P42" s="27">
        <f>'Rate Base'!P42</f>
        <v>2943994</v>
      </c>
      <c r="Q42" s="27">
        <f>'Rate Base'!Q42</f>
        <v>0</v>
      </c>
      <c r="R42" s="27">
        <f>'Rate Base'!R42</f>
        <v>0</v>
      </c>
    </row>
    <row r="43" spans="1:18">
      <c r="A43" s="247" t="s">
        <v>532</v>
      </c>
      <c r="B43" s="247"/>
      <c r="C43" s="247"/>
      <c r="D43" s="189">
        <v>393</v>
      </c>
      <c r="E43" s="3" t="s">
        <v>124</v>
      </c>
      <c r="F43" s="373">
        <f>'RCN Data'!H45</f>
        <v>359295.2</v>
      </c>
      <c r="G43" s="27">
        <f t="shared" si="7"/>
        <v>-26148.49</v>
      </c>
      <c r="H43" s="31">
        <f t="shared" si="8"/>
        <v>333146.71000000002</v>
      </c>
      <c r="I43" s="27">
        <f>'Rate Base'!I43</f>
        <v>0</v>
      </c>
      <c r="J43" s="27">
        <f>'Rate Base'!J43</f>
        <v>0</v>
      </c>
      <c r="K43" s="27">
        <f>'Rate Base'!K43</f>
        <v>0</v>
      </c>
      <c r="L43" s="27">
        <f>'Rate Base'!L43</f>
        <v>0</v>
      </c>
      <c r="M43" s="27">
        <f>'Rate Base'!M43</f>
        <v>0</v>
      </c>
      <c r="N43" s="27">
        <f>'Rate Base'!N43</f>
        <v>0</v>
      </c>
      <c r="O43" s="27">
        <f>'Rate Base'!O43</f>
        <v>0</v>
      </c>
      <c r="P43" s="27">
        <f>'Rate Base'!P43</f>
        <v>0</v>
      </c>
      <c r="Q43" s="27">
        <f>'Rate Base'!Q43</f>
        <v>-26148.49</v>
      </c>
      <c r="R43" s="27">
        <f>'Rate Base'!R43</f>
        <v>0</v>
      </c>
    </row>
    <row r="44" spans="1:18">
      <c r="A44" s="247" t="s">
        <v>533</v>
      </c>
      <c r="B44" s="247"/>
      <c r="C44" s="247"/>
      <c r="D44" s="189">
        <v>394</v>
      </c>
      <c r="E44" s="3" t="s">
        <v>125</v>
      </c>
      <c r="F44" s="373">
        <f>'RCN Data'!H46</f>
        <v>6995012.5600000005</v>
      </c>
      <c r="G44" s="27">
        <f t="shared" si="7"/>
        <v>180352.72999999998</v>
      </c>
      <c r="H44" s="31">
        <f t="shared" si="8"/>
        <v>7175365.290000001</v>
      </c>
      <c r="I44" s="27">
        <f>'Rate Base'!I44</f>
        <v>0</v>
      </c>
      <c r="J44" s="27">
        <f>'Rate Base'!J44</f>
        <v>0</v>
      </c>
      <c r="K44" s="27">
        <f>'Rate Base'!K44</f>
        <v>0</v>
      </c>
      <c r="L44" s="27">
        <f>'Rate Base'!L44</f>
        <v>0</v>
      </c>
      <c r="M44" s="27">
        <f>'Rate Base'!M44</f>
        <v>0</v>
      </c>
      <c r="N44" s="27">
        <f>'Rate Base'!N44</f>
        <v>0</v>
      </c>
      <c r="O44" s="27">
        <f>'Rate Base'!O44</f>
        <v>0</v>
      </c>
      <c r="P44" s="27">
        <f>'Rate Base'!P44</f>
        <v>614832</v>
      </c>
      <c r="Q44" s="27">
        <f>'Rate Base'!Q44</f>
        <v>-434479.27</v>
      </c>
      <c r="R44" s="27">
        <f>'Rate Base'!R44</f>
        <v>0</v>
      </c>
    </row>
    <row r="45" spans="1:18">
      <c r="A45" s="247" t="s">
        <v>534</v>
      </c>
      <c r="B45" s="247"/>
      <c r="C45" s="247"/>
      <c r="D45" s="189">
        <v>395</v>
      </c>
      <c r="E45" s="3" t="s">
        <v>126</v>
      </c>
      <c r="F45" s="373">
        <f>'RCN Data'!H47</f>
        <v>90479.959999999992</v>
      </c>
      <c r="G45" s="27">
        <f t="shared" si="7"/>
        <v>0</v>
      </c>
      <c r="H45" s="31">
        <f t="shared" si="8"/>
        <v>90479.959999999992</v>
      </c>
      <c r="I45" s="27">
        <f>'Rate Base'!I45</f>
        <v>0</v>
      </c>
      <c r="J45" s="27">
        <f>'Rate Base'!J45</f>
        <v>0</v>
      </c>
      <c r="K45" s="27">
        <f>'Rate Base'!K45</f>
        <v>0</v>
      </c>
      <c r="L45" s="27">
        <f>'Rate Base'!L45</f>
        <v>0</v>
      </c>
      <c r="M45" s="27">
        <f>'Rate Base'!M45</f>
        <v>0</v>
      </c>
      <c r="N45" s="27">
        <f>'Rate Base'!N45</f>
        <v>0</v>
      </c>
      <c r="O45" s="27">
        <f>'Rate Base'!O45</f>
        <v>0</v>
      </c>
      <c r="P45" s="27">
        <f>'Rate Base'!P45</f>
        <v>0</v>
      </c>
      <c r="Q45" s="27">
        <f>'Rate Base'!Q45</f>
        <v>0</v>
      </c>
      <c r="R45" s="27">
        <f>'Rate Base'!R45</f>
        <v>0</v>
      </c>
    </row>
    <row r="46" spans="1:18">
      <c r="A46" s="247" t="s">
        <v>535</v>
      </c>
      <c r="B46" s="247"/>
      <c r="C46" s="247"/>
      <c r="D46" s="189">
        <v>396</v>
      </c>
      <c r="E46" s="3" t="s">
        <v>127</v>
      </c>
      <c r="F46" s="373">
        <f>'RCN Data'!H48</f>
        <v>3048520.8199999984</v>
      </c>
      <c r="G46" s="27">
        <f t="shared" si="7"/>
        <v>1020992.8</v>
      </c>
      <c r="H46" s="31">
        <f t="shared" si="8"/>
        <v>4069513.6199999982</v>
      </c>
      <c r="I46" s="27">
        <f>'Rate Base'!I46</f>
        <v>0</v>
      </c>
      <c r="J46" s="27">
        <f>'Rate Base'!J46</f>
        <v>0</v>
      </c>
      <c r="K46" s="27">
        <f>'Rate Base'!K46</f>
        <v>0</v>
      </c>
      <c r="L46" s="27">
        <f>'Rate Base'!L46</f>
        <v>0</v>
      </c>
      <c r="M46" s="27">
        <f>'Rate Base'!M46</f>
        <v>0</v>
      </c>
      <c r="N46" s="27">
        <f>'Rate Base'!N46</f>
        <v>0</v>
      </c>
      <c r="O46" s="27">
        <f>'Rate Base'!O46</f>
        <v>0</v>
      </c>
      <c r="P46" s="27">
        <f>'Rate Base'!P46</f>
        <v>1008093</v>
      </c>
      <c r="Q46" s="27">
        <f>'Rate Base'!Q46</f>
        <v>12899.8</v>
      </c>
      <c r="R46" s="27">
        <f>'Rate Base'!R46</f>
        <v>0</v>
      </c>
    </row>
    <row r="47" spans="1:18">
      <c r="A47" s="247" t="s">
        <v>536</v>
      </c>
      <c r="B47" s="247"/>
      <c r="C47" s="247"/>
      <c r="D47" s="189">
        <v>397</v>
      </c>
      <c r="E47" s="3" t="s">
        <v>128</v>
      </c>
      <c r="F47" s="373">
        <f>'RCN Data'!H49</f>
        <v>4214677.47</v>
      </c>
      <c r="G47" s="27">
        <f t="shared" si="7"/>
        <v>95203</v>
      </c>
      <c r="H47" s="31">
        <f t="shared" si="8"/>
        <v>4309880.47</v>
      </c>
      <c r="I47" s="27">
        <f>'Rate Base'!I47</f>
        <v>0</v>
      </c>
      <c r="J47" s="27">
        <f>'Rate Base'!J47</f>
        <v>0</v>
      </c>
      <c r="K47" s="27">
        <f>'Rate Base'!K47</f>
        <v>0</v>
      </c>
      <c r="L47" s="27">
        <f>'Rate Base'!L47</f>
        <v>0</v>
      </c>
      <c r="M47" s="27">
        <f>'Rate Base'!M47</f>
        <v>0</v>
      </c>
      <c r="N47" s="27">
        <f>'Rate Base'!N47</f>
        <v>0</v>
      </c>
      <c r="O47" s="27">
        <f>'Rate Base'!O47</f>
        <v>0</v>
      </c>
      <c r="P47" s="27">
        <f>'Rate Base'!P47</f>
        <v>95203</v>
      </c>
      <c r="Q47" s="27">
        <f>'Rate Base'!Q47</f>
        <v>0</v>
      </c>
      <c r="R47" s="27">
        <f>'Rate Base'!R47</f>
        <v>0</v>
      </c>
    </row>
    <row r="48" spans="1:18">
      <c r="A48" s="247" t="s">
        <v>537</v>
      </c>
      <c r="B48" s="247"/>
      <c r="C48" s="247"/>
      <c r="D48" s="189">
        <v>398</v>
      </c>
      <c r="E48" s="3" t="s">
        <v>129</v>
      </c>
      <c r="F48" s="373">
        <f>'RCN Data'!H50</f>
        <v>537158.23</v>
      </c>
      <c r="G48" s="27">
        <f t="shared" si="7"/>
        <v>-122285.81</v>
      </c>
      <c r="H48" s="31">
        <f t="shared" si="8"/>
        <v>414872.42</v>
      </c>
      <c r="I48" s="27">
        <f>'Rate Base'!I48</f>
        <v>0</v>
      </c>
      <c r="J48" s="27">
        <f>'Rate Base'!J48</f>
        <v>0</v>
      </c>
      <c r="K48" s="27">
        <f>'Rate Base'!K48</f>
        <v>0</v>
      </c>
      <c r="L48" s="27">
        <f>'Rate Base'!L48</f>
        <v>0</v>
      </c>
      <c r="M48" s="27">
        <f>'Rate Base'!M48</f>
        <v>0</v>
      </c>
      <c r="N48" s="27">
        <f>'Rate Base'!N48</f>
        <v>0</v>
      </c>
      <c r="O48" s="27">
        <f>'Rate Base'!O48</f>
        <v>0</v>
      </c>
      <c r="P48" s="27">
        <f>'Rate Base'!P48</f>
        <v>-123014</v>
      </c>
      <c r="Q48" s="27">
        <f>'Rate Base'!Q48</f>
        <v>728.19</v>
      </c>
      <c r="R48" s="27">
        <f>'Rate Base'!R48</f>
        <v>0</v>
      </c>
    </row>
    <row r="49" spans="4:18">
      <c r="D49" s="206"/>
      <c r="E49" s="211" t="s">
        <v>263</v>
      </c>
      <c r="F49" s="195">
        <f>SUM(F39:F48)</f>
        <v>66761777.06000001</v>
      </c>
      <c r="G49" s="195">
        <f>SUM(G39:G48)</f>
        <v>5623114.0099999998</v>
      </c>
      <c r="H49" s="196">
        <f>SUM(H39:H48)</f>
        <v>72384891.070000008</v>
      </c>
      <c r="I49" s="27">
        <f>'Rate Base'!I49</f>
        <v>0</v>
      </c>
      <c r="J49" s="27">
        <f>'Rate Base'!J49</f>
        <v>0</v>
      </c>
      <c r="K49" s="27">
        <f>'Rate Base'!K49</f>
        <v>0</v>
      </c>
      <c r="L49" s="27">
        <f>'Rate Base'!L49</f>
        <v>0</v>
      </c>
      <c r="M49" s="27">
        <f>'Rate Base'!M49</f>
        <v>0</v>
      </c>
      <c r="N49" s="27">
        <f>'Rate Base'!N49</f>
        <v>0</v>
      </c>
      <c r="O49" s="27">
        <f>'Rate Base'!O49</f>
        <v>0</v>
      </c>
      <c r="P49" s="27">
        <f>'Rate Base'!P49</f>
        <v>0</v>
      </c>
      <c r="Q49" s="27">
        <f>'Rate Base'!Q49</f>
        <v>0</v>
      </c>
      <c r="R49" s="27">
        <f>'Rate Base'!R49</f>
        <v>0</v>
      </c>
    </row>
    <row r="50" spans="4:18">
      <c r="D50" s="206"/>
      <c r="E50" s="212"/>
      <c r="F50" s="426"/>
      <c r="G50" s="199"/>
      <c r="H50" s="200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4:18" s="28" customFormat="1">
      <c r="D51" s="189"/>
      <c r="E51" s="21" t="s">
        <v>274</v>
      </c>
      <c r="F51" s="209"/>
      <c r="G51" s="209"/>
      <c r="H51" s="210"/>
      <c r="I51" s="27"/>
      <c r="J51" s="27"/>
      <c r="K51" s="27"/>
      <c r="L51" s="27"/>
      <c r="M51" s="27"/>
      <c r="N51" s="27"/>
      <c r="O51" s="27"/>
      <c r="P51" s="27"/>
      <c r="Q51" s="27"/>
      <c r="R51" s="27"/>
    </row>
    <row r="52" spans="4:18" s="28" customFormat="1">
      <c r="D52" s="189" t="s">
        <v>275</v>
      </c>
      <c r="E52" s="3" t="s">
        <v>133</v>
      </c>
      <c r="F52" s="182">
        <f>+F13</f>
        <v>456243.42999999993</v>
      </c>
      <c r="G52" s="209">
        <f>+G13</f>
        <v>1340383</v>
      </c>
      <c r="H52" s="210">
        <f>+H13</f>
        <v>1796626.4300000002</v>
      </c>
      <c r="I52" s="27">
        <f>'Rate Base'!I52</f>
        <v>0</v>
      </c>
      <c r="J52" s="27">
        <f>'Rate Base'!J52</f>
        <v>0</v>
      </c>
      <c r="K52" s="27">
        <f>'Rate Base'!K52</f>
        <v>0</v>
      </c>
      <c r="L52" s="27">
        <f>'Rate Base'!L52</f>
        <v>0</v>
      </c>
      <c r="M52" s="27">
        <f>'Rate Base'!M52</f>
        <v>0</v>
      </c>
      <c r="N52" s="27">
        <f>'Rate Base'!N52</f>
        <v>0</v>
      </c>
      <c r="O52" s="27">
        <f>'Rate Base'!O52</f>
        <v>0</v>
      </c>
      <c r="P52" s="27">
        <f>'Rate Base'!P52</f>
        <v>0</v>
      </c>
      <c r="Q52" s="27">
        <f>'Rate Base'!Q52</f>
        <v>0</v>
      </c>
      <c r="R52" s="27">
        <f>'Rate Base'!R52</f>
        <v>0</v>
      </c>
    </row>
    <row r="53" spans="4:18" s="28" customFormat="1">
      <c r="D53" s="189" t="s">
        <v>275</v>
      </c>
      <c r="E53" s="3" t="s">
        <v>135</v>
      </c>
      <c r="F53" s="182">
        <f>+F21</f>
        <v>72615093.429999992</v>
      </c>
      <c r="G53" s="209">
        <f>+G21</f>
        <v>-7162995.7000000011</v>
      </c>
      <c r="H53" s="210">
        <f>+H21</f>
        <v>65452097.729999989</v>
      </c>
      <c r="I53" s="27">
        <f>'Rate Base'!I53</f>
        <v>0</v>
      </c>
      <c r="J53" s="27">
        <f>'Rate Base'!J53</f>
        <v>0</v>
      </c>
      <c r="K53" s="27">
        <f>'Rate Base'!K53</f>
        <v>0</v>
      </c>
      <c r="L53" s="27">
        <f>'Rate Base'!L53</f>
        <v>0</v>
      </c>
      <c r="M53" s="27">
        <f>'Rate Base'!M53</f>
        <v>0</v>
      </c>
      <c r="N53" s="27">
        <f>'Rate Base'!N53</f>
        <v>0</v>
      </c>
      <c r="O53" s="27">
        <f>'Rate Base'!O53</f>
        <v>0</v>
      </c>
      <c r="P53" s="27">
        <f>'Rate Base'!P53</f>
        <v>0</v>
      </c>
      <c r="Q53" s="27">
        <f>'Rate Base'!Q53</f>
        <v>0</v>
      </c>
      <c r="R53" s="27">
        <f>'Rate Base'!R53</f>
        <v>0</v>
      </c>
    </row>
    <row r="54" spans="4:18" s="28" customFormat="1">
      <c r="D54" s="189" t="s">
        <v>275</v>
      </c>
      <c r="E54" s="12" t="s">
        <v>136</v>
      </c>
      <c r="F54" s="13">
        <f>+F36</f>
        <v>1219558643.7568624</v>
      </c>
      <c r="G54" s="209">
        <f>+G36</f>
        <v>-15630920.684548697</v>
      </c>
      <c r="H54" s="210">
        <f>+H36</f>
        <v>1203927723.0723138</v>
      </c>
      <c r="I54" s="27">
        <f>'Rate Base'!I54</f>
        <v>0</v>
      </c>
      <c r="J54" s="27">
        <f>'Rate Base'!J54</f>
        <v>0</v>
      </c>
      <c r="K54" s="27">
        <f>'Rate Base'!K54</f>
        <v>0</v>
      </c>
      <c r="L54" s="27">
        <f>'Rate Base'!L54</f>
        <v>0</v>
      </c>
      <c r="M54" s="27">
        <f>'Rate Base'!M54</f>
        <v>0</v>
      </c>
      <c r="N54" s="27">
        <f>'Rate Base'!N54</f>
        <v>0</v>
      </c>
      <c r="O54" s="27">
        <f>'Rate Base'!O54</f>
        <v>0</v>
      </c>
      <c r="P54" s="27">
        <f>'Rate Base'!P54</f>
        <v>0</v>
      </c>
      <c r="Q54" s="27">
        <f>'Rate Base'!Q54</f>
        <v>0</v>
      </c>
      <c r="R54" s="27">
        <f>'Rate Base'!R54</f>
        <v>0</v>
      </c>
    </row>
    <row r="55" spans="4:18" s="28" customFormat="1">
      <c r="D55" s="189" t="s">
        <v>275</v>
      </c>
      <c r="E55" s="3" t="s">
        <v>137</v>
      </c>
      <c r="F55" s="182">
        <f>+F49</f>
        <v>66761777.06000001</v>
      </c>
      <c r="G55" s="209">
        <f>+G49</f>
        <v>5623114.0099999998</v>
      </c>
      <c r="H55" s="210">
        <f>+H49</f>
        <v>72384891.070000008</v>
      </c>
      <c r="I55" s="27">
        <f>'Rate Base'!I55</f>
        <v>0</v>
      </c>
      <c r="J55" s="27">
        <f>'Rate Base'!J55</f>
        <v>0</v>
      </c>
      <c r="K55" s="27">
        <f>'Rate Base'!K55</f>
        <v>0</v>
      </c>
      <c r="L55" s="27">
        <f>'Rate Base'!L55</f>
        <v>0</v>
      </c>
      <c r="M55" s="27">
        <f>'Rate Base'!M55</f>
        <v>0</v>
      </c>
      <c r="N55" s="27">
        <f>'Rate Base'!N55</f>
        <v>0</v>
      </c>
      <c r="O55" s="27">
        <f>'Rate Base'!O55</f>
        <v>0</v>
      </c>
      <c r="P55" s="27">
        <f>'Rate Base'!P55</f>
        <v>0</v>
      </c>
      <c r="Q55" s="27">
        <f>'Rate Base'!Q55</f>
        <v>0</v>
      </c>
      <c r="R55" s="27">
        <f>'Rate Base'!R55</f>
        <v>0</v>
      </c>
    </row>
    <row r="56" spans="4:18" ht="13.8" thickBot="1">
      <c r="D56" s="189"/>
      <c r="E56" s="29" t="s">
        <v>20</v>
      </c>
      <c r="F56" s="214">
        <f>SUM(F52:F55)</f>
        <v>1359391757.6768622</v>
      </c>
      <c r="G56" s="214">
        <f>SUM(G52:G55)</f>
        <v>-15830419.374548698</v>
      </c>
      <c r="H56" s="215">
        <f>SUM(H52:H55)</f>
        <v>1343561338.3023138</v>
      </c>
      <c r="I56" s="27">
        <f>'Rate Base'!I56</f>
        <v>0</v>
      </c>
      <c r="J56" s="27">
        <f>'Rate Base'!J56</f>
        <v>0</v>
      </c>
      <c r="K56" s="27">
        <f>'Rate Base'!K56</f>
        <v>0</v>
      </c>
      <c r="L56" s="27">
        <f>'Rate Base'!L56</f>
        <v>0</v>
      </c>
      <c r="M56" s="27">
        <f>'Rate Base'!M56</f>
        <v>0</v>
      </c>
      <c r="N56" s="27">
        <f>'Rate Base'!N56</f>
        <v>0</v>
      </c>
      <c r="O56" s="27">
        <f>'Rate Base'!O56</f>
        <v>0</v>
      </c>
      <c r="P56" s="27">
        <f>'Rate Base'!P56</f>
        <v>0</v>
      </c>
      <c r="Q56" s="27">
        <f>'Rate Base'!Q56</f>
        <v>0</v>
      </c>
      <c r="R56" s="27">
        <f>'Rate Base'!R56</f>
        <v>0</v>
      </c>
    </row>
    <row r="57" spans="4:18" ht="13.8" thickTop="1">
      <c r="D57" s="206"/>
      <c r="E57" s="21"/>
      <c r="F57" s="426"/>
      <c r="G57" s="209"/>
      <c r="H57" s="210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4:18" s="45" customFormat="1">
      <c r="D58" s="13"/>
      <c r="E58" s="217" t="s">
        <v>276</v>
      </c>
      <c r="F58" s="219"/>
      <c r="G58" s="219"/>
      <c r="H58" s="220"/>
      <c r="I58" s="27"/>
      <c r="J58" s="27"/>
      <c r="K58" s="27"/>
      <c r="L58" s="27"/>
      <c r="M58" s="27"/>
      <c r="N58" s="27"/>
      <c r="O58" s="27"/>
      <c r="P58" s="27"/>
      <c r="Q58" s="27"/>
      <c r="R58" s="27"/>
    </row>
    <row r="59" spans="4:18">
      <c r="D59" s="189"/>
      <c r="E59" s="21" t="s">
        <v>277</v>
      </c>
      <c r="F59" s="424"/>
      <c r="G59" s="32"/>
      <c r="H59" s="192"/>
      <c r="I59" s="27">
        <f>'Rate Base'!I59</f>
        <v>0</v>
      </c>
      <c r="J59" s="27">
        <f>'Rate Base'!J59</f>
        <v>0</v>
      </c>
      <c r="K59" s="27">
        <f>'Rate Base'!K59</f>
        <v>0</v>
      </c>
      <c r="L59" s="27">
        <f>'Rate Base'!L59</f>
        <v>0</v>
      </c>
      <c r="M59" s="27">
        <f>'Rate Base'!M59</f>
        <v>0</v>
      </c>
      <c r="N59" s="27">
        <f>'Rate Base'!N59</f>
        <v>0</v>
      </c>
      <c r="O59" s="27">
        <f>'Rate Base'!O59</f>
        <v>0</v>
      </c>
      <c r="P59" s="27">
        <f>'Rate Base'!P59</f>
        <v>0</v>
      </c>
      <c r="Q59" s="27">
        <f>'Rate Base'!Q59</f>
        <v>0</v>
      </c>
      <c r="R59" s="27">
        <f>'Rate Base'!R59</f>
        <v>0</v>
      </c>
    </row>
    <row r="60" spans="4:18">
      <c r="D60" s="189">
        <v>302</v>
      </c>
      <c r="E60" s="3" t="s">
        <v>278</v>
      </c>
      <c r="F60" s="182">
        <f>'RCN Data'!I10</f>
        <v>105353.31000000001</v>
      </c>
      <c r="G60" s="27">
        <f>SUM(I60:R60)</f>
        <v>-24701.453275075841</v>
      </c>
      <c r="H60" s="31">
        <f>F60+G60</f>
        <v>80651.856724924175</v>
      </c>
      <c r="I60" s="27">
        <f>'Rate Base'!I60</f>
        <v>0</v>
      </c>
      <c r="J60" s="27">
        <f>'Rate Base'!J60</f>
        <v>0</v>
      </c>
      <c r="K60" s="27">
        <f>'Rate Base'!K60</f>
        <v>-7520.4532750758399</v>
      </c>
      <c r="L60" s="27">
        <f>'Rate Base'!L60</f>
        <v>0</v>
      </c>
      <c r="M60" s="27">
        <f>'Rate Base'!M60</f>
        <v>0</v>
      </c>
      <c r="N60" s="27">
        <f>'Rate Base'!N60</f>
        <v>0</v>
      </c>
      <c r="O60" s="27">
        <f>'Rate Base'!O60</f>
        <v>0</v>
      </c>
      <c r="P60" s="27">
        <f>'Rate Base'!P60</f>
        <v>0</v>
      </c>
      <c r="Q60" s="27">
        <f>'Rate Base'!Q60</f>
        <v>-17181</v>
      </c>
      <c r="R60" s="27">
        <f>'Rate Base'!R60</f>
        <v>0</v>
      </c>
    </row>
    <row r="61" spans="4:18">
      <c r="D61" s="189">
        <v>303</v>
      </c>
      <c r="E61" s="3" t="s">
        <v>279</v>
      </c>
      <c r="F61" s="182">
        <f>'RCN Data'!I11</f>
        <v>25663.089999999997</v>
      </c>
      <c r="G61" s="27">
        <f>SUM(I61:R61)</f>
        <v>272207</v>
      </c>
      <c r="H61" s="31">
        <f>F61+G61</f>
        <v>297870.08999999997</v>
      </c>
      <c r="I61" s="27">
        <f>'Rate Base'!I61</f>
        <v>0</v>
      </c>
      <c r="J61" s="27">
        <f>'Rate Base'!J61</f>
        <v>0</v>
      </c>
      <c r="K61" s="27">
        <f>'Rate Base'!K61</f>
        <v>0</v>
      </c>
      <c r="L61" s="27">
        <f>'Rate Base'!L61</f>
        <v>0</v>
      </c>
      <c r="M61" s="27">
        <f>'Rate Base'!M61</f>
        <v>0</v>
      </c>
      <c r="N61" s="27">
        <f>'Rate Base'!N61</f>
        <v>0</v>
      </c>
      <c r="O61" s="27">
        <f>'Rate Base'!O61</f>
        <v>0</v>
      </c>
      <c r="P61" s="27">
        <f>'Rate Base'!P61</f>
        <v>272207</v>
      </c>
      <c r="Q61" s="27">
        <f>'Rate Base'!Q61</f>
        <v>0</v>
      </c>
      <c r="R61" s="27">
        <f>'Rate Base'!R61</f>
        <v>0</v>
      </c>
    </row>
    <row r="62" spans="4:18">
      <c r="D62" s="221"/>
      <c r="E62" s="285"/>
      <c r="F62" s="484"/>
      <c r="G62" s="27"/>
      <c r="H62" s="31"/>
      <c r="I62" s="27">
        <f>'Rate Base'!I62</f>
        <v>0</v>
      </c>
      <c r="J62" s="27">
        <f>'Rate Base'!J62</f>
        <v>0</v>
      </c>
      <c r="K62" s="27">
        <f>'Rate Base'!K62</f>
        <v>0</v>
      </c>
      <c r="L62" s="27">
        <f>'Rate Base'!L62</f>
        <v>0</v>
      </c>
      <c r="M62" s="27">
        <f>'Rate Base'!M62</f>
        <v>0</v>
      </c>
      <c r="N62" s="27">
        <f>'Rate Base'!N62</f>
        <v>0</v>
      </c>
      <c r="O62" s="27">
        <f>'Rate Base'!O62</f>
        <v>0</v>
      </c>
      <c r="P62" s="27">
        <f>'Rate Base'!P62</f>
        <v>0</v>
      </c>
      <c r="Q62" s="27">
        <f>'Rate Base'!Q62</f>
        <v>0</v>
      </c>
      <c r="R62" s="27">
        <f>'Rate Base'!R62</f>
        <v>0</v>
      </c>
    </row>
    <row r="63" spans="4:18">
      <c r="D63" s="189"/>
      <c r="E63" s="36" t="s">
        <v>280</v>
      </c>
      <c r="F63" s="195">
        <f>SUM(F60:F62)</f>
        <v>131016.40000000001</v>
      </c>
      <c r="G63" s="195">
        <f>SUM(G60:G62)</f>
        <v>247505.54672492415</v>
      </c>
      <c r="H63" s="196">
        <f>SUM(H60:H62)</f>
        <v>378521.94672492414</v>
      </c>
      <c r="I63" s="27">
        <f>'Rate Base'!I63</f>
        <v>0</v>
      </c>
      <c r="J63" s="27">
        <f>'Rate Base'!J63</f>
        <v>0</v>
      </c>
      <c r="K63" s="27">
        <f>'Rate Base'!K63</f>
        <v>0</v>
      </c>
      <c r="L63" s="27">
        <f>'Rate Base'!L63</f>
        <v>0</v>
      </c>
      <c r="M63" s="27">
        <f>'Rate Base'!M63</f>
        <v>0</v>
      </c>
      <c r="N63" s="27">
        <f>'Rate Base'!N63</f>
        <v>0</v>
      </c>
      <c r="O63" s="27">
        <f>'Rate Base'!O63</f>
        <v>0</v>
      </c>
      <c r="P63" s="27">
        <f>'Rate Base'!P63</f>
        <v>0</v>
      </c>
      <c r="Q63" s="27">
        <f>'Rate Base'!Q63</f>
        <v>0</v>
      </c>
      <c r="R63" s="27">
        <f>'Rate Base'!R63</f>
        <v>0</v>
      </c>
    </row>
    <row r="64" spans="4:18">
      <c r="D64" s="189"/>
      <c r="E64" s="21"/>
      <c r="F64" s="426"/>
      <c r="G64" s="209"/>
      <c r="H64" s="210"/>
      <c r="I64" s="27"/>
      <c r="J64" s="27"/>
      <c r="K64" s="27"/>
      <c r="L64" s="27"/>
      <c r="M64" s="27"/>
      <c r="N64" s="27"/>
      <c r="O64" s="27"/>
      <c r="P64" s="27"/>
      <c r="Q64" s="27"/>
      <c r="R64" s="27"/>
    </row>
    <row r="65" spans="4:18">
      <c r="D65" s="201"/>
      <c r="E65" s="21" t="s">
        <v>281</v>
      </c>
      <c r="F65" s="203"/>
      <c r="G65" s="203"/>
      <c r="H65" s="204"/>
      <c r="I65" s="27"/>
      <c r="J65" s="27"/>
      <c r="K65" s="27"/>
      <c r="L65" s="27"/>
      <c r="M65" s="27"/>
      <c r="N65" s="27"/>
      <c r="O65" s="27"/>
      <c r="P65" s="27"/>
      <c r="Q65" s="27"/>
      <c r="R65" s="27"/>
    </row>
    <row r="66" spans="4:18">
      <c r="D66" s="189">
        <v>365</v>
      </c>
      <c r="E66" s="3" t="s">
        <v>282</v>
      </c>
      <c r="F66" s="182">
        <f>'RCN Data'!I16</f>
        <v>70348.51999999999</v>
      </c>
      <c r="G66" s="27">
        <f>SUM(I66:R66)</f>
        <v>-23922.467421815301</v>
      </c>
      <c r="H66" s="31">
        <f t="shared" ref="H66:H70" si="9">F66+G66</f>
        <v>46426.052578184688</v>
      </c>
      <c r="I66" s="27">
        <f>'Rate Base'!I66</f>
        <v>0</v>
      </c>
      <c r="J66" s="27">
        <f>'Rate Base'!J66</f>
        <v>-5039</v>
      </c>
      <c r="K66" s="27">
        <f>'Rate Base'!K66</f>
        <v>-14572.5074218153</v>
      </c>
      <c r="L66" s="27">
        <f>'Rate Base'!L66</f>
        <v>0</v>
      </c>
      <c r="M66" s="27">
        <f>'Rate Base'!M66</f>
        <v>0</v>
      </c>
      <c r="N66" s="27">
        <f>'Rate Base'!N66</f>
        <v>0</v>
      </c>
      <c r="O66" s="27">
        <f>'Rate Base'!O66</f>
        <v>-4310.96</v>
      </c>
      <c r="P66" s="27">
        <f>'Rate Base'!P66</f>
        <v>0</v>
      </c>
      <c r="Q66" s="27">
        <f>'Rate Base'!Q66</f>
        <v>0</v>
      </c>
      <c r="R66" s="27">
        <f>'Rate Base'!R66</f>
        <v>0</v>
      </c>
    </row>
    <row r="67" spans="4:18">
      <c r="D67" s="189">
        <v>366</v>
      </c>
      <c r="E67" s="3" t="s">
        <v>104</v>
      </c>
      <c r="F67" s="182">
        <f>'RCN Data'!I17</f>
        <v>19399.667900371864</v>
      </c>
      <c r="G67" s="27">
        <f>SUM(I67:R67)</f>
        <v>-1971.6805333033201</v>
      </c>
      <c r="H67" s="31">
        <f t="shared" si="9"/>
        <v>17427.987367068545</v>
      </c>
      <c r="I67" s="27">
        <f>'Rate Base'!I67</f>
        <v>0</v>
      </c>
      <c r="J67" s="27">
        <f>'Rate Base'!J67</f>
        <v>-721</v>
      </c>
      <c r="K67" s="27">
        <f>'Rate Base'!K67</f>
        <v>-1250.6805333033201</v>
      </c>
      <c r="L67" s="27">
        <f>'Rate Base'!L67</f>
        <v>0</v>
      </c>
      <c r="M67" s="27">
        <f>'Rate Base'!M67</f>
        <v>0</v>
      </c>
      <c r="N67" s="27">
        <f>'Rate Base'!N67</f>
        <v>0</v>
      </c>
      <c r="O67" s="27">
        <f>'Rate Base'!O67</f>
        <v>0</v>
      </c>
      <c r="P67" s="27">
        <f>'Rate Base'!P67</f>
        <v>0</v>
      </c>
      <c r="Q67" s="27">
        <f>'Rate Base'!Q67</f>
        <v>0</v>
      </c>
      <c r="R67" s="27">
        <f>'Rate Base'!R67</f>
        <v>0</v>
      </c>
    </row>
    <row r="68" spans="4:18">
      <c r="D68" s="189">
        <v>367</v>
      </c>
      <c r="E68" s="3" t="s">
        <v>110</v>
      </c>
      <c r="F68" s="182">
        <f>'RCN Data'!I18</f>
        <v>34979308.071413353</v>
      </c>
      <c r="G68" s="27">
        <f>SUM(I68:R68)</f>
        <v>-3758183.8297664998</v>
      </c>
      <c r="H68" s="31">
        <f t="shared" si="9"/>
        <v>31221124.241646852</v>
      </c>
      <c r="I68" s="27">
        <f>'Rate Base'!I68</f>
        <v>0</v>
      </c>
      <c r="J68" s="27">
        <f>'Rate Base'!J68</f>
        <v>-902582</v>
      </c>
      <c r="K68" s="27">
        <f>'Rate Base'!K68</f>
        <v>-1371192.6297665001</v>
      </c>
      <c r="L68" s="27">
        <f>'Rate Base'!L68</f>
        <v>0</v>
      </c>
      <c r="M68" s="27">
        <f>'Rate Base'!M68</f>
        <v>0</v>
      </c>
      <c r="N68" s="27">
        <f>'Rate Base'!N68</f>
        <v>0</v>
      </c>
      <c r="O68" s="27">
        <f>'Rate Base'!O68</f>
        <v>-1484409.2</v>
      </c>
      <c r="P68" s="27">
        <f>'Rate Base'!P68</f>
        <v>0</v>
      </c>
      <c r="Q68" s="27">
        <f>'Rate Base'!Q68</f>
        <v>0</v>
      </c>
      <c r="R68" s="27">
        <f>'Rate Base'!R68</f>
        <v>0</v>
      </c>
    </row>
    <row r="69" spans="4:18">
      <c r="D69" s="189">
        <v>369</v>
      </c>
      <c r="E69" s="3" t="s">
        <v>106</v>
      </c>
      <c r="F69" s="182">
        <f>'RCN Data'!I19</f>
        <v>6718646.8209401211</v>
      </c>
      <c r="G69" s="27">
        <f>SUM(I69:R69)</f>
        <v>-1389725.1647615379</v>
      </c>
      <c r="H69" s="31">
        <f t="shared" si="9"/>
        <v>5328921.6561785834</v>
      </c>
      <c r="I69" s="27">
        <f>'Rate Base'!I69</f>
        <v>0</v>
      </c>
      <c r="J69" s="27">
        <f>'Rate Base'!J69</f>
        <v>-155660</v>
      </c>
      <c r="K69" s="27">
        <f>'Rate Base'!K69</f>
        <v>-356961.97476153797</v>
      </c>
      <c r="L69" s="27">
        <f>'Rate Base'!L69</f>
        <v>0</v>
      </c>
      <c r="M69" s="27">
        <f>'Rate Base'!M69</f>
        <v>0</v>
      </c>
      <c r="N69" s="27">
        <f>'Rate Base'!N69</f>
        <v>0</v>
      </c>
      <c r="O69" s="27">
        <f>'Rate Base'!O69</f>
        <v>-877103.19</v>
      </c>
      <c r="P69" s="27">
        <f>'Rate Base'!P69</f>
        <v>0</v>
      </c>
      <c r="Q69" s="27">
        <f>'Rate Base'!Q69</f>
        <v>0</v>
      </c>
      <c r="R69" s="27">
        <f>'Rate Base'!R69</f>
        <v>0</v>
      </c>
    </row>
    <row r="70" spans="4:18">
      <c r="D70" s="189">
        <v>371</v>
      </c>
      <c r="E70" s="3" t="s">
        <v>107</v>
      </c>
      <c r="F70" s="182">
        <f>'RCN Data'!I20</f>
        <v>177972.8</v>
      </c>
      <c r="G70" s="27">
        <f>SUM(I70:R70)</f>
        <v>-168721.2137468571</v>
      </c>
      <c r="H70" s="31">
        <f t="shared" si="9"/>
        <v>9251.5862531428866</v>
      </c>
      <c r="I70" s="27">
        <f>'Rate Base'!I70</f>
        <v>0</v>
      </c>
      <c r="J70" s="27">
        <f>'Rate Base'!J70</f>
        <v>0</v>
      </c>
      <c r="K70" s="27">
        <f>'Rate Base'!K70</f>
        <v>-11351.6537468571</v>
      </c>
      <c r="L70" s="27">
        <f>'Rate Base'!L70</f>
        <v>0</v>
      </c>
      <c r="M70" s="27">
        <f>'Rate Base'!M70</f>
        <v>0</v>
      </c>
      <c r="N70" s="27">
        <f>'Rate Base'!N70</f>
        <v>0</v>
      </c>
      <c r="O70" s="27">
        <f>'Rate Base'!O70</f>
        <v>-157369.56</v>
      </c>
      <c r="P70" s="27">
        <f>'Rate Base'!P70</f>
        <v>0</v>
      </c>
      <c r="Q70" s="27">
        <f>'Rate Base'!Q70</f>
        <v>0</v>
      </c>
      <c r="R70" s="27">
        <f>'Rate Base'!R70</f>
        <v>0</v>
      </c>
    </row>
    <row r="71" spans="4:18">
      <c r="D71" s="221"/>
      <c r="E71" s="285"/>
      <c r="F71" s="484"/>
      <c r="G71" s="27"/>
      <c r="H71" s="31"/>
      <c r="I71" s="27">
        <f>'Rate Base'!I71</f>
        <v>0</v>
      </c>
      <c r="J71" s="27">
        <f>'Rate Base'!J71</f>
        <v>0</v>
      </c>
      <c r="K71" s="27">
        <f>'Rate Base'!K71</f>
        <v>0</v>
      </c>
      <c r="L71" s="27">
        <f>'Rate Base'!L71</f>
        <v>0</v>
      </c>
      <c r="M71" s="27">
        <f>'Rate Base'!M71</f>
        <v>0</v>
      </c>
      <c r="N71" s="27">
        <f>'Rate Base'!N71</f>
        <v>0</v>
      </c>
      <c r="O71" s="27">
        <f>'Rate Base'!O71</f>
        <v>0</v>
      </c>
      <c r="P71" s="27">
        <f>'Rate Base'!P71</f>
        <v>0</v>
      </c>
      <c r="Q71" s="27">
        <f>'Rate Base'!Q71</f>
        <v>0</v>
      </c>
      <c r="R71" s="27">
        <f>'Rate Base'!R71</f>
        <v>0</v>
      </c>
    </row>
    <row r="72" spans="4:18" ht="13.8" thickBot="1">
      <c r="D72" s="206"/>
      <c r="E72" s="29" t="s">
        <v>283</v>
      </c>
      <c r="F72" s="214">
        <f>SUM(F66:F71)</f>
        <v>41965675.880253844</v>
      </c>
      <c r="G72" s="214">
        <f>SUM(G66:G71)</f>
        <v>-5342524.3562300131</v>
      </c>
      <c r="H72" s="215">
        <f>SUM(H66:H71)</f>
        <v>36623151.524023831</v>
      </c>
      <c r="I72" s="27">
        <f>'Rate Base'!I72</f>
        <v>0</v>
      </c>
      <c r="J72" s="27">
        <f>'Rate Base'!J72</f>
        <v>0</v>
      </c>
      <c r="K72" s="27">
        <f>'Rate Base'!K72</f>
        <v>0</v>
      </c>
      <c r="L72" s="27">
        <f>'Rate Base'!L72</f>
        <v>0</v>
      </c>
      <c r="M72" s="27">
        <f>'Rate Base'!M72</f>
        <v>0</v>
      </c>
      <c r="N72" s="27">
        <f>'Rate Base'!N72</f>
        <v>0</v>
      </c>
      <c r="O72" s="27">
        <f>'Rate Base'!O72</f>
        <v>0</v>
      </c>
      <c r="P72" s="27">
        <f>'Rate Base'!P72</f>
        <v>0</v>
      </c>
      <c r="Q72" s="27">
        <f>'Rate Base'!Q72</f>
        <v>0</v>
      </c>
      <c r="R72" s="27">
        <f>'Rate Base'!R72</f>
        <v>0</v>
      </c>
    </row>
    <row r="73" spans="4:18" ht="13.8" thickTop="1">
      <c r="D73" s="206"/>
      <c r="E73" s="21"/>
      <c r="F73" s="426"/>
      <c r="G73" s="209"/>
      <c r="H73" s="210"/>
      <c r="I73" s="27"/>
      <c r="J73" s="27"/>
      <c r="K73" s="27"/>
      <c r="L73" s="27"/>
      <c r="M73" s="27"/>
      <c r="N73" s="27"/>
      <c r="O73" s="27"/>
      <c r="P73" s="27"/>
      <c r="Q73" s="27"/>
      <c r="R73" s="27"/>
    </row>
    <row r="74" spans="4:18">
      <c r="D74" s="206"/>
      <c r="E74" s="21" t="s">
        <v>284</v>
      </c>
      <c r="F74" s="197"/>
      <c r="G74" s="197"/>
      <c r="H74" s="192"/>
      <c r="I74" s="27"/>
      <c r="J74" s="27"/>
      <c r="K74" s="27"/>
      <c r="L74" s="27"/>
      <c r="M74" s="27"/>
      <c r="N74" s="27"/>
      <c r="O74" s="27"/>
      <c r="P74" s="27"/>
      <c r="Q74" s="27"/>
      <c r="R74" s="27"/>
    </row>
    <row r="75" spans="4:18">
      <c r="D75" s="189">
        <v>374.1</v>
      </c>
      <c r="E75" s="3" t="s">
        <v>285</v>
      </c>
      <c r="F75" s="182">
        <f>'RCN Data'!I25</f>
        <v>-55270.65375203381</v>
      </c>
      <c r="G75" s="27">
        <f t="shared" ref="G75:G86" si="10">SUM(I75:R75)</f>
        <v>-37096.805428911197</v>
      </c>
      <c r="H75" s="31">
        <f t="shared" ref="H75:H86" si="11">F75+G75</f>
        <v>-92367.459180945007</v>
      </c>
      <c r="I75" s="27">
        <f>'Rate Base'!I75</f>
        <v>0</v>
      </c>
      <c r="J75" s="27">
        <f>'Rate Base'!J75</f>
        <v>3957</v>
      </c>
      <c r="K75" s="27">
        <f>'Rate Base'!K75</f>
        <v>-41209.805428911197</v>
      </c>
      <c r="L75" s="27">
        <f>'Rate Base'!L75</f>
        <v>0</v>
      </c>
      <c r="M75" s="27">
        <f>'Rate Base'!M75</f>
        <v>0</v>
      </c>
      <c r="N75" s="27">
        <f>'Rate Base'!N75</f>
        <v>0</v>
      </c>
      <c r="O75" s="27">
        <f>'Rate Base'!O75</f>
        <v>0</v>
      </c>
      <c r="P75" s="27">
        <f>'Rate Base'!P75</f>
        <v>156</v>
      </c>
      <c r="Q75" s="27">
        <f>'Rate Base'!Q75</f>
        <v>0</v>
      </c>
      <c r="R75" s="27">
        <f>'Rate Base'!R75</f>
        <v>0</v>
      </c>
    </row>
    <row r="76" spans="4:18">
      <c r="D76" s="189">
        <f>+D75+1</f>
        <v>375.1</v>
      </c>
      <c r="E76" s="3" t="s">
        <v>104</v>
      </c>
      <c r="F76" s="182">
        <f>'RCN Data'!I26</f>
        <v>32957.731759730159</v>
      </c>
      <c r="G76" s="27">
        <f t="shared" si="10"/>
        <v>-1385.87659563492</v>
      </c>
      <c r="H76" s="31">
        <f t="shared" si="11"/>
        <v>31571.855164095239</v>
      </c>
      <c r="I76" s="27">
        <f>'Rate Base'!I76</f>
        <v>0</v>
      </c>
      <c r="J76" s="27">
        <f>'Rate Base'!J76</f>
        <v>-1718</v>
      </c>
      <c r="K76" s="27">
        <f>'Rate Base'!K76</f>
        <v>-162.87659563491999</v>
      </c>
      <c r="L76" s="27">
        <f>'Rate Base'!L76</f>
        <v>0</v>
      </c>
      <c r="M76" s="27">
        <f>'Rate Base'!M76</f>
        <v>0</v>
      </c>
      <c r="N76" s="27">
        <f>'Rate Base'!N76</f>
        <v>0</v>
      </c>
      <c r="O76" s="27">
        <f>'Rate Base'!O76</f>
        <v>0</v>
      </c>
      <c r="P76" s="27">
        <f>'Rate Base'!P76</f>
        <v>495</v>
      </c>
      <c r="Q76" s="27">
        <f>'Rate Base'!Q76</f>
        <v>0</v>
      </c>
      <c r="R76" s="27">
        <f>'Rate Base'!R76</f>
        <v>0</v>
      </c>
    </row>
    <row r="77" spans="4:18">
      <c r="D77" s="189">
        <f>+D76+1</f>
        <v>376.1</v>
      </c>
      <c r="E77" s="3" t="s">
        <v>110</v>
      </c>
      <c r="F77" s="182">
        <f>'RCN Data'!I27</f>
        <v>353651836.10301912</v>
      </c>
      <c r="G77" s="27">
        <f t="shared" si="10"/>
        <v>-28183536.090206578</v>
      </c>
      <c r="H77" s="31">
        <f>F77+G77</f>
        <v>325468300.01281255</v>
      </c>
      <c r="I77" s="27">
        <f>'Rate Base'!I77</f>
        <v>0</v>
      </c>
      <c r="J77" s="27">
        <f>'Rate Base'!J77</f>
        <v>-9309585</v>
      </c>
      <c r="K77" s="27">
        <f>'Rate Base'!K77</f>
        <v>-13237428.0015384</v>
      </c>
      <c r="L77" s="27">
        <f>'Rate Base'!L77</f>
        <v>265</v>
      </c>
      <c r="M77" s="27">
        <f>'Rate Base'!M77</f>
        <v>0</v>
      </c>
      <c r="N77" s="27">
        <f>'Rate Base'!N77</f>
        <v>-1184910.0886681804</v>
      </c>
      <c r="O77" s="27">
        <f>'Rate Base'!O77</f>
        <v>0</v>
      </c>
      <c r="P77" s="27">
        <f>'Rate Base'!P77</f>
        <v>196999</v>
      </c>
      <c r="Q77" s="27">
        <f>'Rate Base'!Q77</f>
        <v>-4648877</v>
      </c>
      <c r="R77" s="27">
        <f>'Rate Base'!R77</f>
        <v>0</v>
      </c>
    </row>
    <row r="78" spans="4:18">
      <c r="D78" s="189">
        <v>378</v>
      </c>
      <c r="E78" s="3" t="s">
        <v>286</v>
      </c>
      <c r="F78" s="182">
        <f>'RCN Data'!I28</f>
        <v>7324735.1181742661</v>
      </c>
      <c r="G78" s="27">
        <f t="shared" si="10"/>
        <v>-403978.31932047603</v>
      </c>
      <c r="H78" s="31">
        <f t="shared" si="11"/>
        <v>6920756.7988537904</v>
      </c>
      <c r="I78" s="27">
        <f>'Rate Base'!I78</f>
        <v>0</v>
      </c>
      <c r="J78" s="27">
        <f>'Rate Base'!J78</f>
        <v>-192550</v>
      </c>
      <c r="K78" s="27">
        <f>'Rate Base'!K78</f>
        <v>-106496.189320476</v>
      </c>
      <c r="L78" s="27">
        <f>'Rate Base'!L78</f>
        <v>35</v>
      </c>
      <c r="M78" s="27">
        <f>'Rate Base'!M78</f>
        <v>0</v>
      </c>
      <c r="N78" s="27">
        <f>'Rate Base'!N78</f>
        <v>0</v>
      </c>
      <c r="O78" s="27">
        <f>'Rate Base'!O78</f>
        <v>0</v>
      </c>
      <c r="P78" s="27">
        <f>'Rate Base'!P78</f>
        <v>4802</v>
      </c>
      <c r="Q78" s="27">
        <f>'Rate Base'!Q78</f>
        <v>-109769.13</v>
      </c>
      <c r="R78" s="27">
        <f>'Rate Base'!R78</f>
        <v>0</v>
      </c>
    </row>
    <row r="79" spans="4:18">
      <c r="D79" s="189">
        <f t="shared" ref="D79:D84" si="12">+D78+1</f>
        <v>379</v>
      </c>
      <c r="E79" s="3" t="s">
        <v>287</v>
      </c>
      <c r="F79" s="182">
        <f>'RCN Data'!I29</f>
        <v>5920097.7193323849</v>
      </c>
      <c r="G79" s="27">
        <f t="shared" si="10"/>
        <v>-729893.65426303283</v>
      </c>
      <c r="H79" s="31">
        <f t="shared" si="11"/>
        <v>5190204.0650693523</v>
      </c>
      <c r="I79" s="27">
        <f>'Rate Base'!I79</f>
        <v>0</v>
      </c>
      <c r="J79" s="27">
        <f>'Rate Base'!J79</f>
        <v>-159807</v>
      </c>
      <c r="K79" s="27">
        <f>'Rate Base'!K79</f>
        <v>-147104.60152310299</v>
      </c>
      <c r="L79" s="27">
        <f>'Rate Base'!L79</f>
        <v>0</v>
      </c>
      <c r="M79" s="27">
        <f>'Rate Base'!M79</f>
        <v>0</v>
      </c>
      <c r="N79" s="27">
        <f>'Rate Base'!N79</f>
        <v>-294249.84273992991</v>
      </c>
      <c r="O79" s="27">
        <f>'Rate Base'!O79</f>
        <v>0</v>
      </c>
      <c r="P79" s="27">
        <f>'Rate Base'!P79</f>
        <v>4571</v>
      </c>
      <c r="Q79" s="27">
        <f>'Rate Base'!Q79</f>
        <v>-133303.21</v>
      </c>
      <c r="R79" s="27">
        <f>'Rate Base'!R79</f>
        <v>0</v>
      </c>
    </row>
    <row r="80" spans="4:18">
      <c r="D80" s="189">
        <f t="shared" si="12"/>
        <v>380</v>
      </c>
      <c r="E80" s="3" t="s">
        <v>113</v>
      </c>
      <c r="F80" s="182">
        <f>'RCN Data'!I30</f>
        <v>150394905.21106589</v>
      </c>
      <c r="G80" s="27">
        <f t="shared" si="10"/>
        <v>-5944158.3936962802</v>
      </c>
      <c r="H80" s="31">
        <f t="shared" si="11"/>
        <v>144450746.81736961</v>
      </c>
      <c r="I80" s="27">
        <f>'Rate Base'!I80</f>
        <v>0</v>
      </c>
      <c r="J80" s="27">
        <f>'Rate Base'!J80</f>
        <v>0</v>
      </c>
      <c r="K80" s="27">
        <f>'Rate Base'!K80</f>
        <v>-4380506.0936962804</v>
      </c>
      <c r="L80" s="27">
        <f>'Rate Base'!L80</f>
        <v>9</v>
      </c>
      <c r="M80" s="27">
        <f>'Rate Base'!M80</f>
        <v>-14310</v>
      </c>
      <c r="N80" s="27">
        <f>'Rate Base'!N80</f>
        <v>0</v>
      </c>
      <c r="O80" s="27">
        <f>'Rate Base'!O80</f>
        <v>0</v>
      </c>
      <c r="P80" s="27">
        <f>'Rate Base'!P80</f>
        <v>136803</v>
      </c>
      <c r="Q80" s="27">
        <f>'Rate Base'!Q80</f>
        <v>-1686154.3</v>
      </c>
      <c r="R80" s="27">
        <f>'Rate Base'!R80</f>
        <v>0</v>
      </c>
    </row>
    <row r="81" spans="4:18">
      <c r="D81" s="189">
        <f t="shared" si="12"/>
        <v>381</v>
      </c>
      <c r="E81" s="3" t="s">
        <v>114</v>
      </c>
      <c r="F81" s="182">
        <f>'RCN Data'!I31</f>
        <v>16268731.203172248</v>
      </c>
      <c r="G81" s="27">
        <f t="shared" si="10"/>
        <v>-1111975.570439674</v>
      </c>
      <c r="H81" s="31">
        <f t="shared" si="11"/>
        <v>15156755.632732574</v>
      </c>
      <c r="I81" s="27">
        <f>'Rate Base'!I81</f>
        <v>0</v>
      </c>
      <c r="J81" s="27">
        <f>'Rate Base'!J81</f>
        <v>0</v>
      </c>
      <c r="K81" s="27">
        <f>'Rate Base'!K81</f>
        <v>-762904.84043967398</v>
      </c>
      <c r="L81" s="27">
        <f>'Rate Base'!L81</f>
        <v>0</v>
      </c>
      <c r="M81" s="27">
        <f>'Rate Base'!M81</f>
        <v>0</v>
      </c>
      <c r="N81" s="27">
        <f>'Rate Base'!N81</f>
        <v>0</v>
      </c>
      <c r="O81" s="27">
        <f>'Rate Base'!O81</f>
        <v>0</v>
      </c>
      <c r="P81" s="27">
        <f>'Rate Base'!P81</f>
        <v>44071</v>
      </c>
      <c r="Q81" s="27">
        <f>'Rate Base'!Q81</f>
        <v>-393141.73</v>
      </c>
      <c r="R81" s="27">
        <f>'Rate Base'!R81</f>
        <v>0</v>
      </c>
    </row>
    <row r="82" spans="4:18">
      <c r="D82" s="189">
        <f t="shared" si="12"/>
        <v>382</v>
      </c>
      <c r="E82" s="3" t="s">
        <v>115</v>
      </c>
      <c r="F82" s="182">
        <f>'RCN Data'!I32</f>
        <v>7798778.1179569755</v>
      </c>
      <c r="G82" s="27">
        <f t="shared" si="10"/>
        <v>-446299.04756805598</v>
      </c>
      <c r="H82" s="31">
        <f t="shared" si="11"/>
        <v>7352479.0703889197</v>
      </c>
      <c r="I82" s="27">
        <f>'Rate Base'!I82</f>
        <v>0</v>
      </c>
      <c r="J82" s="27">
        <f>'Rate Base'!J82</f>
        <v>0</v>
      </c>
      <c r="K82" s="27">
        <f>'Rate Base'!K82</f>
        <v>-460674.79756805598</v>
      </c>
      <c r="L82" s="27">
        <f>'Rate Base'!L82</f>
        <v>0</v>
      </c>
      <c r="M82" s="27">
        <f>'Rate Base'!M82</f>
        <v>0</v>
      </c>
      <c r="N82" s="27">
        <f>'Rate Base'!N82</f>
        <v>0</v>
      </c>
      <c r="O82" s="27">
        <f>'Rate Base'!O82</f>
        <v>0</v>
      </c>
      <c r="P82" s="27">
        <f>'Rate Base'!P82</f>
        <v>17402</v>
      </c>
      <c r="Q82" s="27">
        <f>'Rate Base'!Q82</f>
        <v>-3026.25</v>
      </c>
      <c r="R82" s="27">
        <f>'Rate Base'!R82</f>
        <v>0</v>
      </c>
    </row>
    <row r="83" spans="4:18">
      <c r="D83" s="189">
        <f t="shared" si="12"/>
        <v>383</v>
      </c>
      <c r="E83" s="3" t="s">
        <v>288</v>
      </c>
      <c r="F83" s="182">
        <f>'RCN Data'!I33</f>
        <v>5927919.0083698677</v>
      </c>
      <c r="G83" s="27">
        <f t="shared" si="10"/>
        <v>-36961.166251646006</v>
      </c>
      <c r="H83" s="31">
        <f t="shared" si="11"/>
        <v>5890957.8421182213</v>
      </c>
      <c r="I83" s="27">
        <f>'Rate Base'!I83</f>
        <v>0</v>
      </c>
      <c r="J83" s="27">
        <f>'Rate Base'!J83</f>
        <v>0</v>
      </c>
      <c r="K83" s="27">
        <f>'Rate Base'!K83</f>
        <v>-100648.616251646</v>
      </c>
      <c r="L83" s="27">
        <f>'Rate Base'!L83</f>
        <v>0</v>
      </c>
      <c r="M83" s="27">
        <f>'Rate Base'!M83</f>
        <v>0</v>
      </c>
      <c r="N83" s="27">
        <f>'Rate Base'!N83</f>
        <v>0</v>
      </c>
      <c r="O83" s="27">
        <f>'Rate Base'!O83</f>
        <v>0</v>
      </c>
      <c r="P83" s="27">
        <f>'Rate Base'!P83</f>
        <v>4274</v>
      </c>
      <c r="Q83" s="27">
        <f>'Rate Base'!Q83</f>
        <v>59413.45</v>
      </c>
      <c r="R83" s="27">
        <f>'Rate Base'!R83</f>
        <v>0</v>
      </c>
    </row>
    <row r="84" spans="4:18">
      <c r="D84" s="189">
        <f t="shared" si="12"/>
        <v>384</v>
      </c>
      <c r="E84" s="3" t="s">
        <v>289</v>
      </c>
      <c r="F84" s="182">
        <f>'RCN Data'!I34</f>
        <v>4415300.4883898636</v>
      </c>
      <c r="G84" s="27">
        <f t="shared" si="10"/>
        <v>-36775.144486798497</v>
      </c>
      <c r="H84" s="31">
        <f t="shared" si="11"/>
        <v>4378525.3439030647</v>
      </c>
      <c r="I84" s="27">
        <f>'Rate Base'!I84</f>
        <v>0</v>
      </c>
      <c r="J84" s="27">
        <f>'Rate Base'!J84</f>
        <v>0</v>
      </c>
      <c r="K84" s="27">
        <f>'Rate Base'!K84</f>
        <v>-42246.144486798497</v>
      </c>
      <c r="L84" s="27">
        <f>'Rate Base'!L84</f>
        <v>0</v>
      </c>
      <c r="M84" s="27">
        <f>'Rate Base'!M84</f>
        <v>0</v>
      </c>
      <c r="N84" s="27">
        <f>'Rate Base'!N84</f>
        <v>0</v>
      </c>
      <c r="O84" s="27">
        <f>'Rate Base'!O84</f>
        <v>0</v>
      </c>
      <c r="P84" s="27">
        <f>'Rate Base'!P84</f>
        <v>5471</v>
      </c>
      <c r="Q84" s="27">
        <f>'Rate Base'!Q84</f>
        <v>0</v>
      </c>
      <c r="R84" s="27">
        <f>'Rate Base'!R84</f>
        <v>0</v>
      </c>
    </row>
    <row r="85" spans="4:18">
      <c r="D85" s="189">
        <v>385</v>
      </c>
      <c r="E85" s="3" t="s">
        <v>290</v>
      </c>
      <c r="F85" s="182">
        <f>'RCN Data'!I35</f>
        <v>1288853.5100000005</v>
      </c>
      <c r="G85" s="27">
        <f t="shared" si="10"/>
        <v>-202815.86162614921</v>
      </c>
      <c r="H85" s="31">
        <f t="shared" si="11"/>
        <v>1086037.6483738513</v>
      </c>
      <c r="I85" s="27">
        <f>'Rate Base'!I85</f>
        <v>0</v>
      </c>
      <c r="J85" s="27">
        <f>'Rate Base'!J85</f>
        <v>0</v>
      </c>
      <c r="K85" s="27">
        <f>'Rate Base'!K85</f>
        <v>-69161.931626149206</v>
      </c>
      <c r="L85" s="27">
        <f>'Rate Base'!L85</f>
        <v>0</v>
      </c>
      <c r="M85" s="27">
        <f>'Rate Base'!M85</f>
        <v>0</v>
      </c>
      <c r="N85" s="27">
        <f>'Rate Base'!N85</f>
        <v>0</v>
      </c>
      <c r="O85" s="27">
        <f>'Rate Base'!O85</f>
        <v>-7678.93</v>
      </c>
      <c r="P85" s="27">
        <f>'Rate Base'!P85</f>
        <v>2170</v>
      </c>
      <c r="Q85" s="27">
        <f>'Rate Base'!Q85</f>
        <v>-128145</v>
      </c>
      <c r="R85" s="27">
        <f>'Rate Base'!R85</f>
        <v>0</v>
      </c>
    </row>
    <row r="86" spans="4:18">
      <c r="D86" s="189">
        <v>387</v>
      </c>
      <c r="E86" s="3" t="s">
        <v>107</v>
      </c>
      <c r="F86" s="182">
        <f>'RCN Data'!I36</f>
        <v>1764290.2500000002</v>
      </c>
      <c r="G86" s="27">
        <f t="shared" si="10"/>
        <v>-320882.67035628879</v>
      </c>
      <c r="H86" s="31">
        <f t="shared" si="11"/>
        <v>1443407.5796437114</v>
      </c>
      <c r="I86" s="27">
        <f>'Rate Base'!I86</f>
        <v>0</v>
      </c>
      <c r="J86" s="27">
        <f>'Rate Base'!J86</f>
        <v>-126375</v>
      </c>
      <c r="K86" s="27">
        <f>'Rate Base'!K86</f>
        <v>-64978.6703562888</v>
      </c>
      <c r="L86" s="27">
        <f>'Rate Base'!L86</f>
        <v>0</v>
      </c>
      <c r="M86" s="27">
        <f>'Rate Base'!M86</f>
        <v>0</v>
      </c>
      <c r="N86" s="27">
        <f>'Rate Base'!N86</f>
        <v>0</v>
      </c>
      <c r="O86" s="27">
        <f>'Rate Base'!O86</f>
        <v>0</v>
      </c>
      <c r="P86" s="27">
        <f>'Rate Base'!P86</f>
        <v>-11</v>
      </c>
      <c r="Q86" s="27">
        <f>'Rate Base'!Q86</f>
        <v>-129518</v>
      </c>
      <c r="R86" s="27">
        <f>'Rate Base'!R86</f>
        <v>0</v>
      </c>
    </row>
    <row r="87" spans="4:18">
      <c r="D87" s="221"/>
      <c r="E87" s="285"/>
      <c r="F87" s="484"/>
      <c r="G87" s="27"/>
      <c r="H87" s="31"/>
      <c r="I87" s="27">
        <f>'Rate Base'!I87</f>
        <v>0</v>
      </c>
      <c r="J87" s="27">
        <f>'Rate Base'!J87</f>
        <v>0</v>
      </c>
      <c r="K87" s="27">
        <f>'Rate Base'!K87</f>
        <v>0</v>
      </c>
      <c r="L87" s="27">
        <f>'Rate Base'!L87</f>
        <v>0</v>
      </c>
      <c r="M87" s="27">
        <f>'Rate Base'!M87</f>
        <v>0</v>
      </c>
      <c r="N87" s="27">
        <f>'Rate Base'!N87</f>
        <v>0</v>
      </c>
      <c r="O87" s="27">
        <f>'Rate Base'!O87</f>
        <v>0</v>
      </c>
      <c r="P87" s="27">
        <f>'Rate Base'!P87</f>
        <v>0</v>
      </c>
      <c r="Q87" s="27">
        <f>'Rate Base'!Q87</f>
        <v>0</v>
      </c>
      <c r="R87" s="27">
        <f>'Rate Base'!R87</f>
        <v>0</v>
      </c>
    </row>
    <row r="88" spans="4:18">
      <c r="D88" s="206"/>
      <c r="E88" s="36" t="s">
        <v>291</v>
      </c>
      <c r="F88" s="195">
        <f>SUM(F75:F87)</f>
        <v>554733133.80748832</v>
      </c>
      <c r="G88" s="195">
        <f>SUM(G75:G87)</f>
        <v>-37455758.600239523</v>
      </c>
      <c r="H88" s="196">
        <f>SUM(H75:H87)</f>
        <v>517277375.20724881</v>
      </c>
      <c r="I88" s="27">
        <f>'Rate Base'!I88</f>
        <v>0</v>
      </c>
      <c r="J88" s="27">
        <f>'Rate Base'!J88</f>
        <v>0</v>
      </c>
      <c r="K88" s="27">
        <f>'Rate Base'!K88</f>
        <v>0</v>
      </c>
      <c r="L88" s="27">
        <f>'Rate Base'!L88</f>
        <v>0</v>
      </c>
      <c r="M88" s="27">
        <f>'Rate Base'!M88</f>
        <v>0</v>
      </c>
      <c r="N88" s="27">
        <f>'Rate Base'!N88</f>
        <v>0</v>
      </c>
      <c r="O88" s="27">
        <f>'Rate Base'!O88</f>
        <v>0</v>
      </c>
      <c r="P88" s="27">
        <f>'Rate Base'!P88</f>
        <v>0</v>
      </c>
      <c r="Q88" s="27">
        <f>'Rate Base'!Q88</f>
        <v>0</v>
      </c>
      <c r="R88" s="27">
        <f>'Rate Base'!R88</f>
        <v>0</v>
      </c>
    </row>
    <row r="89" spans="4:18">
      <c r="D89" s="206"/>
      <c r="E89" s="37"/>
      <c r="F89" s="426"/>
      <c r="G89" s="199"/>
      <c r="H89" s="200"/>
      <c r="I89" s="27"/>
      <c r="J89" s="27"/>
      <c r="K89" s="27"/>
      <c r="L89" s="27"/>
      <c r="M89" s="27"/>
      <c r="N89" s="27"/>
      <c r="O89" s="27"/>
      <c r="P89" s="27"/>
      <c r="Q89" s="27"/>
      <c r="R89" s="27"/>
    </row>
    <row r="90" spans="4:18">
      <c r="D90" s="189"/>
      <c r="E90" s="21" t="s">
        <v>292</v>
      </c>
      <c r="F90" s="197"/>
      <c r="G90" s="197"/>
      <c r="H90" s="192"/>
      <c r="I90" s="27"/>
      <c r="J90" s="27"/>
      <c r="K90" s="27"/>
      <c r="L90" s="27"/>
      <c r="M90" s="27"/>
      <c r="N90" s="27"/>
      <c r="O90" s="27"/>
      <c r="P90" s="27"/>
      <c r="Q90" s="27"/>
      <c r="R90" s="27"/>
    </row>
    <row r="91" spans="4:18">
      <c r="D91" s="189">
        <v>389</v>
      </c>
      <c r="E91" s="3" t="s">
        <v>285</v>
      </c>
      <c r="F91" s="182">
        <f>'RCN Data'!I41</f>
        <v>209324.95837517804</v>
      </c>
      <c r="G91" s="27">
        <f t="shared" ref="G91:G100" si="13">SUM(I91:R91)</f>
        <v>-117655.4437388199</v>
      </c>
      <c r="H91" s="31">
        <f t="shared" ref="H91:H100" si="14">F91+G91</f>
        <v>91669.514636358144</v>
      </c>
      <c r="I91" s="27">
        <f>'Rate Base'!I91</f>
        <v>0</v>
      </c>
      <c r="J91" s="27">
        <f>'Rate Base'!J91</f>
        <v>0</v>
      </c>
      <c r="K91" s="27">
        <f>'Rate Base'!K91</f>
        <v>-16641.453738819899</v>
      </c>
      <c r="L91" s="27">
        <f>'Rate Base'!L91</f>
        <v>0</v>
      </c>
      <c r="M91" s="27">
        <f>'Rate Base'!M91</f>
        <v>0</v>
      </c>
      <c r="N91" s="27">
        <f>'Rate Base'!N91</f>
        <v>0</v>
      </c>
      <c r="O91" s="27">
        <f>'Rate Base'!O91</f>
        <v>0</v>
      </c>
      <c r="P91" s="27">
        <f>'Rate Base'!P91</f>
        <v>0</v>
      </c>
      <c r="Q91" s="27">
        <f>'Rate Base'!Q91</f>
        <v>-101013.99</v>
      </c>
      <c r="R91" s="27">
        <f>'Rate Base'!R91</f>
        <v>0</v>
      </c>
    </row>
    <row r="92" spans="4:18">
      <c r="D92" s="189">
        <v>390</v>
      </c>
      <c r="E92" s="3" t="s">
        <v>104</v>
      </c>
      <c r="F92" s="182">
        <f>'RCN Data'!I42</f>
        <v>6480588.3966120025</v>
      </c>
      <c r="G92" s="27">
        <f t="shared" si="13"/>
        <v>-142521.92951845151</v>
      </c>
      <c r="H92" s="31">
        <f t="shared" si="14"/>
        <v>6338066.4670935506</v>
      </c>
      <c r="I92" s="27">
        <f>'Rate Base'!I92</f>
        <v>0</v>
      </c>
      <c r="J92" s="27">
        <f>'Rate Base'!J92</f>
        <v>0</v>
      </c>
      <c r="K92" s="27">
        <f>'Rate Base'!K92</f>
        <v>-27017.779518451502</v>
      </c>
      <c r="L92" s="27">
        <f>'Rate Base'!L92</f>
        <v>1</v>
      </c>
      <c r="M92" s="27">
        <f>'Rate Base'!M92</f>
        <v>0</v>
      </c>
      <c r="N92" s="27">
        <f>'Rate Base'!N92</f>
        <v>0</v>
      </c>
      <c r="O92" s="27">
        <f>'Rate Base'!O92</f>
        <v>0</v>
      </c>
      <c r="P92" s="27">
        <f>'Rate Base'!P92</f>
        <v>26910</v>
      </c>
      <c r="Q92" s="27">
        <f>'Rate Base'!Q92</f>
        <v>-142415.15</v>
      </c>
      <c r="R92" s="27">
        <f>'Rate Base'!R92</f>
        <v>0</v>
      </c>
    </row>
    <row r="93" spans="4:18">
      <c r="D93" s="189">
        <v>391</v>
      </c>
      <c r="E93" s="3" t="s">
        <v>293</v>
      </c>
      <c r="F93" s="182">
        <f>'RCN Data'!I43</f>
        <v>2561081.0185828442</v>
      </c>
      <c r="G93" s="27">
        <f t="shared" si="13"/>
        <v>146255</v>
      </c>
      <c r="H93" s="31">
        <f t="shared" si="14"/>
        <v>2707336.0185828442</v>
      </c>
      <c r="I93" s="27">
        <f>'Rate Base'!I93</f>
        <v>0</v>
      </c>
      <c r="J93" s="27">
        <f>'Rate Base'!J93</f>
        <v>0</v>
      </c>
      <c r="K93" s="27">
        <f>'Rate Base'!K93</f>
        <v>0</v>
      </c>
      <c r="L93" s="27">
        <f>'Rate Base'!L93</f>
        <v>0</v>
      </c>
      <c r="M93" s="27">
        <f>'Rate Base'!M93</f>
        <v>0</v>
      </c>
      <c r="N93" s="27">
        <f>'Rate Base'!N93</f>
        <v>0</v>
      </c>
      <c r="O93" s="27">
        <f>'Rate Base'!O93</f>
        <v>0</v>
      </c>
      <c r="P93" s="27">
        <f>'Rate Base'!P93</f>
        <v>146255</v>
      </c>
      <c r="Q93" s="27">
        <f>'Rate Base'!Q93</f>
        <v>0</v>
      </c>
      <c r="R93" s="27">
        <f>'Rate Base'!R93</f>
        <v>0</v>
      </c>
    </row>
    <row r="94" spans="4:18">
      <c r="D94" s="189">
        <v>392</v>
      </c>
      <c r="E94" s="3" t="s">
        <v>123</v>
      </c>
      <c r="F94" s="182">
        <f>'RCN Data'!I44</f>
        <v>9295824.7699999958</v>
      </c>
      <c r="G94" s="27">
        <f t="shared" si="13"/>
        <v>231161</v>
      </c>
      <c r="H94" s="31">
        <f t="shared" si="14"/>
        <v>9526985.7699999958</v>
      </c>
      <c r="I94" s="27">
        <f>'Rate Base'!I94</f>
        <v>0</v>
      </c>
      <c r="J94" s="27">
        <f>'Rate Base'!J94</f>
        <v>0</v>
      </c>
      <c r="K94" s="27">
        <f>'Rate Base'!K94</f>
        <v>0</v>
      </c>
      <c r="L94" s="27">
        <f>'Rate Base'!L94</f>
        <v>1239</v>
      </c>
      <c r="M94" s="27">
        <f>'Rate Base'!M94</f>
        <v>0</v>
      </c>
      <c r="N94" s="27">
        <f>'Rate Base'!N94</f>
        <v>0</v>
      </c>
      <c r="O94" s="27">
        <f>'Rate Base'!O94</f>
        <v>0</v>
      </c>
      <c r="P94" s="27">
        <f>'Rate Base'!P94</f>
        <v>229922</v>
      </c>
      <c r="Q94" s="27">
        <f>'Rate Base'!Q94</f>
        <v>0</v>
      </c>
      <c r="R94" s="27">
        <f>'Rate Base'!R94</f>
        <v>0</v>
      </c>
    </row>
    <row r="95" spans="4:18">
      <c r="D95" s="189">
        <v>393</v>
      </c>
      <c r="E95" s="3" t="s">
        <v>124</v>
      </c>
      <c r="F95" s="182">
        <f>'RCN Data'!I45</f>
        <v>188535.61000000002</v>
      </c>
      <c r="G95" s="27">
        <f t="shared" si="13"/>
        <v>-24438.202116970053</v>
      </c>
      <c r="H95" s="31">
        <f t="shared" si="14"/>
        <v>164097.40788302995</v>
      </c>
      <c r="I95" s="27">
        <f>'Rate Base'!I95</f>
        <v>0</v>
      </c>
      <c r="J95" s="27">
        <f>'Rate Base'!J95</f>
        <v>0</v>
      </c>
      <c r="K95" s="27">
        <f>'Rate Base'!K95</f>
        <v>-8597.9421169700508</v>
      </c>
      <c r="L95" s="27">
        <f>'Rate Base'!L95</f>
        <v>0</v>
      </c>
      <c r="M95" s="27">
        <f>'Rate Base'!M95</f>
        <v>0</v>
      </c>
      <c r="N95" s="27">
        <f>'Rate Base'!N95</f>
        <v>0</v>
      </c>
      <c r="O95" s="27">
        <f>'Rate Base'!O95</f>
        <v>0</v>
      </c>
      <c r="P95" s="27">
        <f>'Rate Base'!P95</f>
        <v>0</v>
      </c>
      <c r="Q95" s="27">
        <f>'Rate Base'!Q95</f>
        <v>-15840.26</v>
      </c>
      <c r="R95" s="27">
        <f>'Rate Base'!R95</f>
        <v>0</v>
      </c>
    </row>
    <row r="96" spans="4:18">
      <c r="D96" s="189">
        <v>394</v>
      </c>
      <c r="E96" s="3" t="s">
        <v>294</v>
      </c>
      <c r="F96" s="182">
        <f>'RCN Data'!I46</f>
        <v>2930471.1799999978</v>
      </c>
      <c r="G96" s="27">
        <f t="shared" si="13"/>
        <v>-384465.04682255368</v>
      </c>
      <c r="H96" s="31">
        <f t="shared" si="14"/>
        <v>2546006.1331774443</v>
      </c>
      <c r="I96" s="27">
        <f>'Rate Base'!I96</f>
        <v>0</v>
      </c>
      <c r="J96" s="27">
        <f>'Rate Base'!J96</f>
        <v>0</v>
      </c>
      <c r="K96" s="27">
        <f>'Rate Base'!K96</f>
        <v>-47525.386822553701</v>
      </c>
      <c r="L96" s="27">
        <f>'Rate Base'!L96</f>
        <v>0</v>
      </c>
      <c r="M96" s="27">
        <f>'Rate Base'!M96</f>
        <v>0</v>
      </c>
      <c r="N96" s="27">
        <f>'Rate Base'!N96</f>
        <v>0</v>
      </c>
      <c r="O96" s="27">
        <f>'Rate Base'!O96</f>
        <v>0</v>
      </c>
      <c r="P96" s="27">
        <f>'Rate Base'!P96</f>
        <v>24595</v>
      </c>
      <c r="Q96" s="27">
        <f>'Rate Base'!Q96</f>
        <v>-361534.66</v>
      </c>
      <c r="R96" s="27">
        <f>'Rate Base'!R96</f>
        <v>0</v>
      </c>
    </row>
    <row r="97" spans="4:18">
      <c r="D97" s="189">
        <v>395</v>
      </c>
      <c r="E97" s="3" t="s">
        <v>126</v>
      </c>
      <c r="F97" s="182">
        <f>'RCN Data'!I47</f>
        <v>53093.94</v>
      </c>
      <c r="G97" s="27">
        <f t="shared" si="13"/>
        <v>0</v>
      </c>
      <c r="H97" s="31">
        <f t="shared" si="14"/>
        <v>53093.94</v>
      </c>
      <c r="I97" s="27">
        <f>'Rate Base'!I97</f>
        <v>0</v>
      </c>
      <c r="J97" s="27">
        <f>'Rate Base'!J97</f>
        <v>0</v>
      </c>
      <c r="K97" s="27">
        <f>'Rate Base'!K97</f>
        <v>0</v>
      </c>
      <c r="L97" s="27">
        <f>'Rate Base'!L97</f>
        <v>0</v>
      </c>
      <c r="M97" s="27">
        <f>'Rate Base'!M97</f>
        <v>0</v>
      </c>
      <c r="N97" s="27">
        <f>'Rate Base'!N97</f>
        <v>0</v>
      </c>
      <c r="O97" s="27">
        <f>'Rate Base'!O97</f>
        <v>0</v>
      </c>
      <c r="P97" s="27">
        <f>'Rate Base'!P97</f>
        <v>0</v>
      </c>
      <c r="Q97" s="27">
        <f>'Rate Base'!Q97</f>
        <v>0</v>
      </c>
      <c r="R97" s="27">
        <f>'Rate Base'!R97</f>
        <v>0</v>
      </c>
    </row>
    <row r="98" spans="4:18">
      <c r="D98" s="189">
        <v>396</v>
      </c>
      <c r="E98" s="3" t="s">
        <v>127</v>
      </c>
      <c r="F98" s="182">
        <f>'RCN Data'!I48</f>
        <v>1811091.8700000003</v>
      </c>
      <c r="G98" s="27">
        <f t="shared" si="13"/>
        <v>53626.8</v>
      </c>
      <c r="H98" s="31">
        <f t="shared" si="14"/>
        <v>1864718.6700000004</v>
      </c>
      <c r="I98" s="27">
        <f>'Rate Base'!I98</f>
        <v>0</v>
      </c>
      <c r="J98" s="27">
        <f>'Rate Base'!J98</f>
        <v>0</v>
      </c>
      <c r="K98" s="27">
        <f>'Rate Base'!K98</f>
        <v>0</v>
      </c>
      <c r="L98" s="27">
        <f>'Rate Base'!L98</f>
        <v>0</v>
      </c>
      <c r="M98" s="27">
        <f>'Rate Base'!M98</f>
        <v>0</v>
      </c>
      <c r="N98" s="27">
        <f>'Rate Base'!N98</f>
        <v>0</v>
      </c>
      <c r="O98" s="27">
        <f>'Rate Base'!O98</f>
        <v>0</v>
      </c>
      <c r="P98" s="27">
        <f>'Rate Base'!P98</f>
        <v>40727</v>
      </c>
      <c r="Q98" s="27">
        <f>'Rate Base'!Q98</f>
        <v>12899.8</v>
      </c>
      <c r="R98" s="27">
        <f>'Rate Base'!R98</f>
        <v>0</v>
      </c>
    </row>
    <row r="99" spans="4:18">
      <c r="D99" s="189">
        <v>397</v>
      </c>
      <c r="E99" s="3" t="s">
        <v>128</v>
      </c>
      <c r="F99" s="182">
        <f>'RCN Data'!I49</f>
        <v>1502363.8099999996</v>
      </c>
      <c r="G99" s="27">
        <f t="shared" si="13"/>
        <v>6350</v>
      </c>
      <c r="H99" s="31">
        <f t="shared" si="14"/>
        <v>1508713.8099999996</v>
      </c>
      <c r="I99" s="27">
        <f>'Rate Base'!I99</f>
        <v>0</v>
      </c>
      <c r="J99" s="27">
        <f>'Rate Base'!J99</f>
        <v>0</v>
      </c>
      <c r="K99" s="27">
        <f>'Rate Base'!K99</f>
        <v>0</v>
      </c>
      <c r="L99" s="27">
        <f>'Rate Base'!L99</f>
        <v>0</v>
      </c>
      <c r="M99" s="27">
        <f>'Rate Base'!M99</f>
        <v>0</v>
      </c>
      <c r="N99" s="27">
        <f>'Rate Base'!N99</f>
        <v>0</v>
      </c>
      <c r="O99" s="27">
        <f>'Rate Base'!O99</f>
        <v>0</v>
      </c>
      <c r="P99" s="27">
        <f>'Rate Base'!P99</f>
        <v>6350</v>
      </c>
      <c r="Q99" s="27">
        <f>'Rate Base'!Q99</f>
        <v>0</v>
      </c>
      <c r="R99" s="27">
        <f>'Rate Base'!R99</f>
        <v>0</v>
      </c>
    </row>
    <row r="100" spans="4:18">
      <c r="D100" s="189">
        <v>398</v>
      </c>
      <c r="E100" s="3" t="s">
        <v>129</v>
      </c>
      <c r="F100" s="182">
        <f>'RCN Data'!I50</f>
        <v>295990.48000000004</v>
      </c>
      <c r="G100" s="27">
        <f t="shared" si="13"/>
        <v>-10263.50457934957</v>
      </c>
      <c r="H100" s="31">
        <f t="shared" si="14"/>
        <v>285726.97542065044</v>
      </c>
      <c r="I100" s="27">
        <f>'Rate Base'!I100</f>
        <v>0</v>
      </c>
      <c r="J100" s="27">
        <f>'Rate Base'!J100</f>
        <v>0</v>
      </c>
      <c r="K100" s="27">
        <f>'Rate Base'!K100</f>
        <v>-5951.4245793495702</v>
      </c>
      <c r="L100" s="27">
        <f>'Rate Base'!L100</f>
        <v>0</v>
      </c>
      <c r="M100" s="27">
        <f>'Rate Base'!M100</f>
        <v>0</v>
      </c>
      <c r="N100" s="27">
        <f>'Rate Base'!N100</f>
        <v>0</v>
      </c>
      <c r="O100" s="27">
        <f>'Rate Base'!O100</f>
        <v>0</v>
      </c>
      <c r="P100" s="27">
        <f>'Rate Base'!P100</f>
        <v>-4921</v>
      </c>
      <c r="Q100" s="27">
        <f>'Rate Base'!Q100</f>
        <v>608.91999999999996</v>
      </c>
      <c r="R100" s="27">
        <f>'Rate Base'!R100</f>
        <v>0</v>
      </c>
    </row>
    <row r="101" spans="4:18">
      <c r="D101" s="221"/>
      <c r="E101" s="285"/>
      <c r="F101" s="484"/>
      <c r="G101" s="27"/>
      <c r="H101" s="31"/>
      <c r="I101" s="27">
        <f>'Rate Base'!I101</f>
        <v>0</v>
      </c>
      <c r="J101" s="27">
        <f>'Rate Base'!J101</f>
        <v>0</v>
      </c>
      <c r="K101" s="27">
        <f>'Rate Base'!K101</f>
        <v>0</v>
      </c>
      <c r="L101" s="27">
        <f>'Rate Base'!L101</f>
        <v>0</v>
      </c>
      <c r="M101" s="27">
        <f>'Rate Base'!M101</f>
        <v>0</v>
      </c>
      <c r="N101" s="27">
        <f>'Rate Base'!N101</f>
        <v>0</v>
      </c>
      <c r="O101" s="27">
        <f>'Rate Base'!O101</f>
        <v>0</v>
      </c>
      <c r="P101" s="27">
        <f>'Rate Base'!P101</f>
        <v>0</v>
      </c>
      <c r="Q101" s="27">
        <f>'Rate Base'!Q101</f>
        <v>0</v>
      </c>
      <c r="R101" s="27">
        <f>'Rate Base'!R101</f>
        <v>0</v>
      </c>
    </row>
    <row r="102" spans="4:18" s="28" customFormat="1">
      <c r="D102" s="189"/>
      <c r="E102" s="36" t="s">
        <v>295</v>
      </c>
      <c r="F102" s="195">
        <f>SUM(F91:F101)</f>
        <v>25328366.033570021</v>
      </c>
      <c r="G102" s="195">
        <f>SUM(G91:G101)</f>
        <v>-241951.32677614476</v>
      </c>
      <c r="H102" s="196">
        <f>SUM(H91:H101)</f>
        <v>25086414.706793875</v>
      </c>
      <c r="I102" s="27">
        <f>'Rate Base'!I102</f>
        <v>0</v>
      </c>
      <c r="J102" s="27">
        <f>'Rate Base'!J102</f>
        <v>0</v>
      </c>
      <c r="K102" s="27">
        <f>'Rate Base'!K102</f>
        <v>0</v>
      </c>
      <c r="L102" s="27">
        <f>'Rate Base'!L102</f>
        <v>0</v>
      </c>
      <c r="M102" s="27">
        <f>'Rate Base'!M102</f>
        <v>0</v>
      </c>
      <c r="N102" s="27">
        <f>'Rate Base'!N102</f>
        <v>0</v>
      </c>
      <c r="O102" s="27">
        <f>'Rate Base'!O102</f>
        <v>0</v>
      </c>
      <c r="P102" s="27">
        <f>'Rate Base'!P102</f>
        <v>0</v>
      </c>
      <c r="Q102" s="27">
        <f>'Rate Base'!Q102</f>
        <v>0</v>
      </c>
      <c r="R102" s="27">
        <f>'Rate Base'!R102</f>
        <v>0</v>
      </c>
    </row>
    <row r="103" spans="4:18">
      <c r="F103" s="426"/>
      <c r="G103" s="182"/>
      <c r="H103" s="216"/>
      <c r="I103" s="27"/>
      <c r="J103" s="27"/>
      <c r="K103" s="27"/>
      <c r="L103" s="27"/>
      <c r="M103" s="27"/>
      <c r="N103" s="27"/>
      <c r="O103" s="27"/>
      <c r="P103" s="27"/>
      <c r="Q103" s="27"/>
      <c r="R103" s="27"/>
    </row>
    <row r="104" spans="4:18" s="28" customFormat="1">
      <c r="D104" s="189"/>
      <c r="E104" s="21" t="s">
        <v>296</v>
      </c>
      <c r="F104" s="209"/>
      <c r="G104" s="182"/>
      <c r="H104" s="216"/>
      <c r="I104" s="27"/>
      <c r="J104" s="27"/>
      <c r="K104" s="27"/>
      <c r="L104" s="27"/>
      <c r="M104" s="27"/>
      <c r="N104" s="27"/>
      <c r="O104" s="27"/>
      <c r="P104" s="27"/>
      <c r="Q104" s="27"/>
      <c r="R104" s="27"/>
    </row>
    <row r="105" spans="4:18" s="28" customFormat="1">
      <c r="D105" s="189" t="s">
        <v>297</v>
      </c>
      <c r="E105" s="3" t="s">
        <v>298</v>
      </c>
      <c r="F105" s="182">
        <f>+F63</f>
        <v>131016.40000000001</v>
      </c>
      <c r="G105" s="182">
        <f>+G63</f>
        <v>247505.54672492415</v>
      </c>
      <c r="H105" s="216">
        <f>+H63</f>
        <v>378521.94672492414</v>
      </c>
      <c r="I105" s="27">
        <f>'Rate Base'!I105</f>
        <v>0</v>
      </c>
      <c r="J105" s="27">
        <f>'Rate Base'!J105</f>
        <v>0</v>
      </c>
      <c r="K105" s="27">
        <f>'Rate Base'!K105</f>
        <v>0</v>
      </c>
      <c r="L105" s="27">
        <f>'Rate Base'!L105</f>
        <v>0</v>
      </c>
      <c r="M105" s="27">
        <f>'Rate Base'!M105</f>
        <v>0</v>
      </c>
      <c r="N105" s="27">
        <f>'Rate Base'!N105</f>
        <v>0</v>
      </c>
      <c r="O105" s="27">
        <f>'Rate Base'!O105</f>
        <v>0</v>
      </c>
      <c r="P105" s="27">
        <f>'Rate Base'!P105</f>
        <v>0</v>
      </c>
      <c r="Q105" s="27">
        <f>'Rate Base'!Q105</f>
        <v>0</v>
      </c>
      <c r="R105" s="27">
        <f>'Rate Base'!R105</f>
        <v>0</v>
      </c>
    </row>
    <row r="106" spans="4:18" s="28" customFormat="1">
      <c r="D106" s="189" t="s">
        <v>297</v>
      </c>
      <c r="E106" s="3" t="s">
        <v>299</v>
      </c>
      <c r="F106" s="182">
        <f>+F72</f>
        <v>41965675.880253844</v>
      </c>
      <c r="G106" s="182">
        <f>+G72</f>
        <v>-5342524.3562300131</v>
      </c>
      <c r="H106" s="216">
        <f>+H72</f>
        <v>36623151.524023831</v>
      </c>
      <c r="I106" s="27">
        <f>'Rate Base'!I106</f>
        <v>0</v>
      </c>
      <c r="J106" s="27">
        <f>'Rate Base'!J106</f>
        <v>0</v>
      </c>
      <c r="K106" s="27">
        <f>'Rate Base'!K106</f>
        <v>0</v>
      </c>
      <c r="L106" s="27">
        <f>'Rate Base'!L106</f>
        <v>0</v>
      </c>
      <c r="M106" s="27">
        <f>'Rate Base'!M106</f>
        <v>0</v>
      </c>
      <c r="N106" s="27">
        <f>'Rate Base'!N106</f>
        <v>0</v>
      </c>
      <c r="O106" s="27">
        <f>'Rate Base'!O106</f>
        <v>0</v>
      </c>
      <c r="P106" s="27">
        <f>'Rate Base'!P106</f>
        <v>0</v>
      </c>
      <c r="Q106" s="27">
        <f>'Rate Base'!Q106</f>
        <v>0</v>
      </c>
      <c r="R106" s="27">
        <f>'Rate Base'!R106</f>
        <v>0</v>
      </c>
    </row>
    <row r="107" spans="4:18" s="28" customFormat="1">
      <c r="D107" s="189" t="s">
        <v>297</v>
      </c>
      <c r="E107" s="12" t="s">
        <v>300</v>
      </c>
      <c r="F107" s="13">
        <f>+F88</f>
        <v>554733133.80748832</v>
      </c>
      <c r="G107" s="182">
        <f>+G88</f>
        <v>-37455758.600239523</v>
      </c>
      <c r="H107" s="216">
        <f>+H88</f>
        <v>517277375.20724881</v>
      </c>
      <c r="I107" s="27">
        <f>'Rate Base'!I107</f>
        <v>0</v>
      </c>
      <c r="J107" s="27">
        <f>'Rate Base'!J107</f>
        <v>0</v>
      </c>
      <c r="K107" s="27">
        <f>'Rate Base'!K107</f>
        <v>0</v>
      </c>
      <c r="L107" s="27">
        <f>'Rate Base'!L107</f>
        <v>0</v>
      </c>
      <c r="M107" s="27">
        <f>'Rate Base'!M107</f>
        <v>0</v>
      </c>
      <c r="N107" s="27">
        <f>'Rate Base'!N107</f>
        <v>0</v>
      </c>
      <c r="O107" s="27">
        <f>'Rate Base'!O107</f>
        <v>0</v>
      </c>
      <c r="P107" s="27">
        <f>'Rate Base'!P107</f>
        <v>0</v>
      </c>
      <c r="Q107" s="27">
        <f>'Rate Base'!Q107</f>
        <v>0</v>
      </c>
      <c r="R107" s="27">
        <f>'Rate Base'!R107</f>
        <v>0</v>
      </c>
    </row>
    <row r="108" spans="4:18" s="28" customFormat="1">
      <c r="D108" s="189" t="s">
        <v>297</v>
      </c>
      <c r="E108" s="3" t="s">
        <v>301</v>
      </c>
      <c r="F108" s="182">
        <f>+F102</f>
        <v>25328366.033570021</v>
      </c>
      <c r="G108" s="182">
        <f>+G102</f>
        <v>-241951.32677614476</v>
      </c>
      <c r="H108" s="216">
        <f>+H102</f>
        <v>25086414.706793875</v>
      </c>
      <c r="I108" s="27">
        <f>'Rate Base'!I108</f>
        <v>0</v>
      </c>
      <c r="J108" s="27">
        <f>'Rate Base'!J108</f>
        <v>0</v>
      </c>
      <c r="K108" s="27">
        <f>'Rate Base'!K108</f>
        <v>0</v>
      </c>
      <c r="L108" s="27">
        <f>'Rate Base'!L108</f>
        <v>0</v>
      </c>
      <c r="M108" s="27">
        <f>'Rate Base'!M108</f>
        <v>0</v>
      </c>
      <c r="N108" s="27">
        <f>'Rate Base'!N108</f>
        <v>0</v>
      </c>
      <c r="O108" s="27">
        <f>'Rate Base'!O108</f>
        <v>0</v>
      </c>
      <c r="P108" s="27">
        <f>'Rate Base'!P108</f>
        <v>0</v>
      </c>
      <c r="Q108" s="27">
        <f>'Rate Base'!Q108</f>
        <v>0</v>
      </c>
      <c r="R108" s="27">
        <f>'Rate Base'!R108</f>
        <v>0</v>
      </c>
    </row>
    <row r="109" spans="4:18" ht="13.8" thickBot="1">
      <c r="D109" s="206"/>
      <c r="E109" s="29" t="s">
        <v>21</v>
      </c>
      <c r="F109" s="214">
        <f>SUM(F105:F108)</f>
        <v>622158192.12131226</v>
      </c>
      <c r="G109" s="214">
        <f>SUM(G105:G108)</f>
        <v>-42792728.73652076</v>
      </c>
      <c r="H109" s="215">
        <f>SUM(H105:H108)</f>
        <v>579365463.38479149</v>
      </c>
      <c r="I109" s="27">
        <f>'Rate Base'!I109</f>
        <v>0</v>
      </c>
      <c r="J109" s="27">
        <f>'Rate Base'!J109</f>
        <v>0</v>
      </c>
      <c r="K109" s="27">
        <f>'Rate Base'!K109</f>
        <v>0</v>
      </c>
      <c r="L109" s="27">
        <f>'Rate Base'!L109</f>
        <v>0</v>
      </c>
      <c r="M109" s="27">
        <f>'Rate Base'!M109</f>
        <v>0</v>
      </c>
      <c r="N109" s="27">
        <f>'Rate Base'!N109</f>
        <v>0</v>
      </c>
      <c r="O109" s="27">
        <f>'Rate Base'!O109</f>
        <v>0</v>
      </c>
      <c r="P109" s="27">
        <f>'Rate Base'!P109</f>
        <v>0</v>
      </c>
      <c r="Q109" s="27">
        <f>'Rate Base'!Q109</f>
        <v>0</v>
      </c>
      <c r="R109" s="27">
        <f>'Rate Base'!R109</f>
        <v>0</v>
      </c>
    </row>
    <row r="110" spans="4:18" ht="13.8" thickTop="1">
      <c r="F110" s="427"/>
      <c r="G110" s="182"/>
      <c r="H110" s="216"/>
      <c r="I110" s="27"/>
      <c r="J110" s="27"/>
      <c r="K110" s="27"/>
      <c r="L110" s="27"/>
      <c r="M110" s="27"/>
      <c r="N110" s="27"/>
      <c r="O110" s="27"/>
      <c r="P110" s="27"/>
      <c r="Q110" s="27"/>
      <c r="R110" s="27"/>
    </row>
    <row r="111" spans="4:18" s="28" customFormat="1">
      <c r="D111" s="189"/>
      <c r="E111" s="21" t="s">
        <v>302</v>
      </c>
      <c r="F111" s="209"/>
      <c r="G111" s="182"/>
      <c r="H111" s="216"/>
      <c r="I111" s="27"/>
      <c r="J111" s="27"/>
      <c r="K111" s="27"/>
      <c r="L111" s="27"/>
      <c r="M111" s="27"/>
      <c r="N111" s="27"/>
      <c r="O111" s="27"/>
      <c r="P111" s="27"/>
      <c r="Q111" s="27"/>
      <c r="R111" s="27"/>
    </row>
    <row r="112" spans="4:18" s="28" customFormat="1">
      <c r="D112" s="189"/>
      <c r="E112" s="3" t="s">
        <v>133</v>
      </c>
      <c r="F112" s="182">
        <f t="shared" ref="F112:H115" si="15">+F52-F105</f>
        <v>325227.02999999991</v>
      </c>
      <c r="G112" s="182">
        <f t="shared" si="15"/>
        <v>1092877.4532750759</v>
      </c>
      <c r="H112" s="216">
        <f t="shared" si="15"/>
        <v>1418104.4832750759</v>
      </c>
      <c r="I112" s="27">
        <f>'Rate Base'!I112</f>
        <v>0</v>
      </c>
      <c r="J112" s="27">
        <f>'Rate Base'!J112</f>
        <v>0</v>
      </c>
      <c r="K112" s="27">
        <f>'Rate Base'!K112</f>
        <v>0</v>
      </c>
      <c r="L112" s="27">
        <f>'Rate Base'!L112</f>
        <v>0</v>
      </c>
      <c r="M112" s="27">
        <f>'Rate Base'!M112</f>
        <v>0</v>
      </c>
      <c r="N112" s="27">
        <f>'Rate Base'!N112</f>
        <v>0</v>
      </c>
      <c r="O112" s="27">
        <f>'Rate Base'!O112</f>
        <v>0</v>
      </c>
      <c r="P112" s="27">
        <f>'Rate Base'!P112</f>
        <v>0</v>
      </c>
      <c r="Q112" s="27">
        <f>'Rate Base'!Q112</f>
        <v>0</v>
      </c>
      <c r="R112" s="27">
        <f>'Rate Base'!R112</f>
        <v>0</v>
      </c>
    </row>
    <row r="113" spans="4:18" s="28" customFormat="1">
      <c r="D113" s="189"/>
      <c r="E113" s="3" t="s">
        <v>135</v>
      </c>
      <c r="F113" s="182">
        <f t="shared" si="15"/>
        <v>30649417.549746148</v>
      </c>
      <c r="G113" s="182">
        <f t="shared" si="15"/>
        <v>-1820471.343769988</v>
      </c>
      <c r="H113" s="216">
        <f t="shared" si="15"/>
        <v>28828946.205976158</v>
      </c>
      <c r="I113" s="27">
        <f>'Rate Base'!I113</f>
        <v>0</v>
      </c>
      <c r="J113" s="27">
        <f>'Rate Base'!J113</f>
        <v>0</v>
      </c>
      <c r="K113" s="27">
        <f>'Rate Base'!K113</f>
        <v>0</v>
      </c>
      <c r="L113" s="27">
        <f>'Rate Base'!L113</f>
        <v>0</v>
      </c>
      <c r="M113" s="27">
        <f>'Rate Base'!M113</f>
        <v>0</v>
      </c>
      <c r="N113" s="27">
        <f>'Rate Base'!N113</f>
        <v>0</v>
      </c>
      <c r="O113" s="27">
        <f>'Rate Base'!O113</f>
        <v>0</v>
      </c>
      <c r="P113" s="27">
        <f>'Rate Base'!P113</f>
        <v>0</v>
      </c>
      <c r="Q113" s="27">
        <f>'Rate Base'!Q113</f>
        <v>0</v>
      </c>
      <c r="R113" s="27">
        <f>'Rate Base'!R113</f>
        <v>0</v>
      </c>
    </row>
    <row r="114" spans="4:18" s="28" customFormat="1">
      <c r="D114" s="189"/>
      <c r="E114" s="12" t="s">
        <v>136</v>
      </c>
      <c r="F114" s="182">
        <f t="shared" si="15"/>
        <v>664825509.94937408</v>
      </c>
      <c r="G114" s="182">
        <f t="shared" si="15"/>
        <v>21824837.915690824</v>
      </c>
      <c r="H114" s="216">
        <f t="shared" si="15"/>
        <v>686650347.86506498</v>
      </c>
      <c r="I114" s="27">
        <f>'Rate Base'!I114</f>
        <v>0</v>
      </c>
      <c r="J114" s="27">
        <f>'Rate Base'!J114</f>
        <v>0</v>
      </c>
      <c r="K114" s="27">
        <f>'Rate Base'!K114</f>
        <v>0</v>
      </c>
      <c r="L114" s="27">
        <f>'Rate Base'!L114</f>
        <v>0</v>
      </c>
      <c r="M114" s="27">
        <f>'Rate Base'!M114</f>
        <v>0</v>
      </c>
      <c r="N114" s="27">
        <f>'Rate Base'!N114</f>
        <v>0</v>
      </c>
      <c r="O114" s="27">
        <f>'Rate Base'!O114</f>
        <v>0</v>
      </c>
      <c r="P114" s="27">
        <f>'Rate Base'!P114</f>
        <v>0</v>
      </c>
      <c r="Q114" s="27">
        <f>'Rate Base'!Q114</f>
        <v>0</v>
      </c>
      <c r="R114" s="27">
        <f>'Rate Base'!R114</f>
        <v>0</v>
      </c>
    </row>
    <row r="115" spans="4:18" s="28" customFormat="1">
      <c r="D115" s="189"/>
      <c r="E115" s="3" t="s">
        <v>137</v>
      </c>
      <c r="F115" s="182">
        <f t="shared" si="15"/>
        <v>41433411.026429988</v>
      </c>
      <c r="G115" s="182">
        <f t="shared" si="15"/>
        <v>5865065.3367761448</v>
      </c>
      <c r="H115" s="216">
        <f t="shared" si="15"/>
        <v>47298476.363206133</v>
      </c>
      <c r="I115" s="27">
        <f>'Rate Base'!I115</f>
        <v>0</v>
      </c>
      <c r="J115" s="27">
        <f>'Rate Base'!J115</f>
        <v>0</v>
      </c>
      <c r="K115" s="27">
        <f>'Rate Base'!K115</f>
        <v>0</v>
      </c>
      <c r="L115" s="27">
        <f>'Rate Base'!L115</f>
        <v>0</v>
      </c>
      <c r="M115" s="27">
        <f>'Rate Base'!M115</f>
        <v>0</v>
      </c>
      <c r="N115" s="27">
        <f>'Rate Base'!N115</f>
        <v>0</v>
      </c>
      <c r="O115" s="27">
        <f>'Rate Base'!O115</f>
        <v>0</v>
      </c>
      <c r="P115" s="27">
        <f>'Rate Base'!P115</f>
        <v>0</v>
      </c>
      <c r="Q115" s="27">
        <f>'Rate Base'!Q115</f>
        <v>0</v>
      </c>
      <c r="R115" s="27">
        <f>'Rate Base'!R115</f>
        <v>0</v>
      </c>
    </row>
    <row r="116" spans="4:18" ht="13.8" thickBot="1">
      <c r="D116" s="206"/>
      <c r="E116" s="29" t="s">
        <v>303</v>
      </c>
      <c r="F116" s="214">
        <f>SUM(F112:F115)</f>
        <v>737233565.55555022</v>
      </c>
      <c r="G116" s="214">
        <f>SUM(G112:G115)</f>
        <v>26962309.361972056</v>
      </c>
      <c r="H116" s="215">
        <f>SUM(H112:H115)</f>
        <v>764195874.91752231</v>
      </c>
      <c r="I116" s="27">
        <f>'Rate Base'!I116</f>
        <v>0</v>
      </c>
      <c r="J116" s="27">
        <f>'Rate Base'!J116</f>
        <v>0</v>
      </c>
      <c r="K116" s="27">
        <f>'Rate Base'!K116</f>
        <v>0</v>
      </c>
      <c r="L116" s="27">
        <f>'Rate Base'!L116</f>
        <v>0</v>
      </c>
      <c r="M116" s="27">
        <f>'Rate Base'!M116</f>
        <v>0</v>
      </c>
      <c r="N116" s="27">
        <f>'Rate Base'!N116</f>
        <v>0</v>
      </c>
      <c r="O116" s="27">
        <f>'Rate Base'!O116</f>
        <v>0</v>
      </c>
      <c r="P116" s="27">
        <f>'Rate Base'!P116</f>
        <v>0</v>
      </c>
      <c r="Q116" s="27">
        <f>'Rate Base'!Q116</f>
        <v>0</v>
      </c>
      <c r="R116" s="27">
        <f>'Rate Base'!R116</f>
        <v>0</v>
      </c>
    </row>
    <row r="117" spans="4:18" ht="13.8" thickTop="1">
      <c r="F117" s="427"/>
      <c r="G117" s="182"/>
      <c r="H117" s="216"/>
      <c r="I117" s="27"/>
      <c r="J117" s="27"/>
      <c r="K117" s="27"/>
      <c r="L117" s="27"/>
      <c r="M117" s="27"/>
      <c r="N117" s="27"/>
      <c r="O117" s="27"/>
      <c r="P117" s="27"/>
      <c r="Q117" s="27"/>
      <c r="R117" s="27"/>
    </row>
    <row r="118" spans="4:18">
      <c r="D118" s="197"/>
      <c r="E118" s="21" t="s">
        <v>6</v>
      </c>
      <c r="F118" s="197"/>
      <c r="G118" s="182"/>
      <c r="H118" s="216"/>
      <c r="I118" s="27"/>
      <c r="J118" s="27"/>
      <c r="K118" s="27"/>
      <c r="L118" s="27"/>
      <c r="M118" s="27"/>
      <c r="N118" s="27"/>
      <c r="O118" s="27"/>
      <c r="P118" s="27"/>
      <c r="Q118" s="27"/>
      <c r="R118" s="27"/>
    </row>
    <row r="119" spans="4:18">
      <c r="D119" s="182" t="s">
        <v>22</v>
      </c>
      <c r="E119" s="3" t="s">
        <v>23</v>
      </c>
      <c r="F119" s="13">
        <f>'Rate Base'!F119</f>
        <v>0</v>
      </c>
      <c r="G119" s="27">
        <f>SUM(I119:R119)</f>
        <v>-5304562.0382017521</v>
      </c>
      <c r="H119" s="31">
        <f>F119+G119</f>
        <v>-5304562.0382017521</v>
      </c>
      <c r="I119" s="27">
        <f>'Rate Base'!I119</f>
        <v>0</v>
      </c>
      <c r="J119" s="27">
        <f>'Rate Base'!J119</f>
        <v>0</v>
      </c>
      <c r="K119" s="27">
        <f>'Rate Base'!K119</f>
        <v>0</v>
      </c>
      <c r="L119" s="27">
        <f>'Rate Base'!L119</f>
        <v>0</v>
      </c>
      <c r="M119" s="27">
        <f>'Rate Base'!M119</f>
        <v>0</v>
      </c>
      <c r="N119" s="27">
        <f>'Rate Base'!N119</f>
        <v>0</v>
      </c>
      <c r="O119" s="27">
        <f>'Rate Base'!O119</f>
        <v>0</v>
      </c>
      <c r="P119" s="27">
        <f>'Rate Base'!P119</f>
        <v>0</v>
      </c>
      <c r="Q119" s="27">
        <f>'Rate Base'!Q119</f>
        <v>0</v>
      </c>
      <c r="R119" s="27">
        <f>'Rate Base'!R119</f>
        <v>-5304562.0382017521</v>
      </c>
    </row>
    <row r="120" spans="4:18">
      <c r="D120" s="182" t="s">
        <v>24</v>
      </c>
      <c r="E120" s="3" t="s">
        <v>25</v>
      </c>
      <c r="F120" s="13">
        <f>'Rate Base'!F120</f>
        <v>2757590.7800000003</v>
      </c>
      <c r="G120" s="27">
        <f>SUM(I120:R120)</f>
        <v>-164808</v>
      </c>
      <c r="H120" s="31">
        <f>F120+G120</f>
        <v>2592782.7800000003</v>
      </c>
      <c r="I120" s="27">
        <f>'Rate Base'!I120</f>
        <v>0</v>
      </c>
      <c r="J120" s="27">
        <f>'Rate Base'!J120</f>
        <v>0</v>
      </c>
      <c r="K120" s="27">
        <f>'Rate Base'!K120</f>
        <v>0</v>
      </c>
      <c r="L120" s="27">
        <f>'Rate Base'!L120</f>
        <v>0</v>
      </c>
      <c r="M120" s="27">
        <f>'Rate Base'!M120</f>
        <v>0</v>
      </c>
      <c r="N120" s="27">
        <f>'Rate Base'!N120</f>
        <v>0</v>
      </c>
      <c r="O120" s="27">
        <f>'Rate Base'!O120</f>
        <v>0</v>
      </c>
      <c r="P120" s="27">
        <f>'Rate Base'!P120</f>
        <v>0</v>
      </c>
      <c r="Q120" s="27">
        <f>'Rate Base'!Q120</f>
        <v>0</v>
      </c>
      <c r="R120" s="27">
        <f>'Rate Base'!R120</f>
        <v>-164808</v>
      </c>
    </row>
    <row r="121" spans="4:18">
      <c r="D121" s="205">
        <v>165</v>
      </c>
      <c r="E121" s="12" t="s">
        <v>26</v>
      </c>
      <c r="F121" s="13">
        <f>'Rate Base'!F121</f>
        <v>188413.13</v>
      </c>
      <c r="G121" s="27">
        <f>SUM(I121:R121)</f>
        <v>296611</v>
      </c>
      <c r="H121" s="31">
        <f>F121+G121</f>
        <v>485024.13</v>
      </c>
      <c r="I121" s="27">
        <f>'Rate Base'!I121</f>
        <v>0</v>
      </c>
      <c r="J121" s="27">
        <f>'Rate Base'!J121</f>
        <v>0</v>
      </c>
      <c r="K121" s="27">
        <f>'Rate Base'!K121</f>
        <v>0</v>
      </c>
      <c r="L121" s="27">
        <f>'Rate Base'!L121</f>
        <v>0</v>
      </c>
      <c r="M121" s="27">
        <f>'Rate Base'!M121</f>
        <v>0</v>
      </c>
      <c r="N121" s="27">
        <f>'Rate Base'!N121</f>
        <v>0</v>
      </c>
      <c r="O121" s="27">
        <f>'Rate Base'!O121</f>
        <v>0</v>
      </c>
      <c r="P121" s="27">
        <f>'Rate Base'!P121</f>
        <v>0</v>
      </c>
      <c r="Q121" s="27">
        <f>'Rate Base'!Q121</f>
        <v>0</v>
      </c>
      <c r="R121" s="27">
        <f>'Rate Base'!R121</f>
        <v>296611</v>
      </c>
    </row>
    <row r="122" spans="4:18">
      <c r="D122" s="206"/>
      <c r="E122" s="34" t="s">
        <v>27</v>
      </c>
      <c r="F122" s="195">
        <f>SUM(F119:F121)</f>
        <v>2946003.91</v>
      </c>
      <c r="G122" s="195">
        <f>SUM(G119:G121)</f>
        <v>-5172759.0382017521</v>
      </c>
      <c r="H122" s="196">
        <f>SUM(H119:H121)</f>
        <v>-2226755.128201752</v>
      </c>
      <c r="I122" s="27">
        <f>'Rate Base'!I122</f>
        <v>0</v>
      </c>
      <c r="J122" s="27">
        <f>'Rate Base'!J122</f>
        <v>0</v>
      </c>
      <c r="K122" s="27">
        <f>'Rate Base'!K122</f>
        <v>0</v>
      </c>
      <c r="L122" s="27">
        <f>'Rate Base'!L122</f>
        <v>0</v>
      </c>
      <c r="M122" s="27">
        <f>'Rate Base'!M122</f>
        <v>0</v>
      </c>
      <c r="N122" s="27">
        <f>'Rate Base'!N122</f>
        <v>0</v>
      </c>
      <c r="O122" s="27">
        <f>'Rate Base'!O122</f>
        <v>0</v>
      </c>
      <c r="P122" s="27">
        <f>'Rate Base'!P122</f>
        <v>0</v>
      </c>
      <c r="Q122" s="27">
        <f>'Rate Base'!Q122</f>
        <v>0</v>
      </c>
      <c r="R122" s="27">
        <f>'Rate Base'!R122</f>
        <v>0</v>
      </c>
    </row>
    <row r="123" spans="4:18">
      <c r="D123" s="206"/>
      <c r="E123" s="35"/>
      <c r="F123" s="209"/>
      <c r="G123" s="182"/>
      <c r="H123" s="216"/>
      <c r="I123" s="27"/>
      <c r="J123" s="27"/>
      <c r="K123" s="27"/>
      <c r="L123" s="27"/>
      <c r="M123" s="27"/>
      <c r="N123" s="27"/>
      <c r="O123" s="27"/>
      <c r="P123" s="27"/>
      <c r="Q123" s="27"/>
      <c r="R123" s="27"/>
    </row>
    <row r="124" spans="4:18">
      <c r="D124" s="189"/>
      <c r="E124" s="21" t="s">
        <v>28</v>
      </c>
      <c r="F124" s="375"/>
      <c r="G124" s="182"/>
      <c r="H124" s="216"/>
      <c r="I124" s="27"/>
      <c r="J124" s="27"/>
      <c r="K124" s="27"/>
      <c r="L124" s="27"/>
      <c r="M124" s="27"/>
      <c r="N124" s="27"/>
      <c r="O124" s="27"/>
      <c r="P124" s="27"/>
      <c r="Q124" s="27"/>
      <c r="R124" s="27"/>
    </row>
    <row r="125" spans="4:18">
      <c r="D125" s="205">
        <v>252</v>
      </c>
      <c r="E125" s="12" t="s">
        <v>29</v>
      </c>
      <c r="F125" s="953">
        <f>'Rate Base'!F125*'Cust Adv RCN'!F30</f>
        <v>-6412611.0028692689</v>
      </c>
      <c r="G125" s="27">
        <f>SUM(I125:R125)</f>
        <v>0</v>
      </c>
      <c r="H125" s="31">
        <f>F125+G125</f>
        <v>-6412611.0028692689</v>
      </c>
      <c r="I125" s="27">
        <f>'Rate Base'!I125</f>
        <v>0</v>
      </c>
      <c r="J125" s="27">
        <f>'Rate Base'!J125</f>
        <v>0</v>
      </c>
      <c r="K125" s="27">
        <f>'Rate Base'!K125</f>
        <v>0</v>
      </c>
      <c r="L125" s="27">
        <f>'Rate Base'!L125</f>
        <v>0</v>
      </c>
      <c r="M125" s="27">
        <f>'Rate Base'!M125</f>
        <v>0</v>
      </c>
      <c r="N125" s="27">
        <f>'Rate Base'!N125</f>
        <v>0</v>
      </c>
      <c r="O125" s="27">
        <f>'Rate Base'!O125</f>
        <v>0</v>
      </c>
      <c r="P125" s="27">
        <f>'Rate Base'!P125</f>
        <v>0</v>
      </c>
      <c r="Q125" s="27">
        <f>'Rate Base'!Q125</f>
        <v>0</v>
      </c>
      <c r="R125" s="27">
        <f>'Rate Base'!R125</f>
        <v>0</v>
      </c>
    </row>
    <row r="126" spans="4:18">
      <c r="D126" s="205">
        <v>235</v>
      </c>
      <c r="E126" s="12" t="s">
        <v>30</v>
      </c>
      <c r="F126" s="376">
        <f>'Rate Base'!F126</f>
        <v>-1598822.74</v>
      </c>
      <c r="G126" s="27">
        <f>SUM(I126:R126)</f>
        <v>0</v>
      </c>
      <c r="H126" s="31">
        <f>F126+G126</f>
        <v>-1598822.74</v>
      </c>
      <c r="I126" s="27">
        <f>'Rate Base'!I126</f>
        <v>0</v>
      </c>
      <c r="J126" s="27">
        <f>'Rate Base'!J126</f>
        <v>0</v>
      </c>
      <c r="K126" s="27">
        <f>'Rate Base'!K126</f>
        <v>0</v>
      </c>
      <c r="L126" s="27">
        <f>'Rate Base'!L126</f>
        <v>0</v>
      </c>
      <c r="M126" s="27">
        <f>'Rate Base'!M126</f>
        <v>0</v>
      </c>
      <c r="N126" s="27">
        <f>'Rate Base'!N126</f>
        <v>0</v>
      </c>
      <c r="O126" s="27">
        <f>'Rate Base'!O126</f>
        <v>0</v>
      </c>
      <c r="P126" s="27">
        <f>'Rate Base'!P126</f>
        <v>0</v>
      </c>
      <c r="Q126" s="27">
        <f>'Rate Base'!Q126</f>
        <v>0</v>
      </c>
      <c r="R126" s="27">
        <f>'Rate Base'!R126</f>
        <v>0</v>
      </c>
    </row>
    <row r="127" spans="4:18">
      <c r="D127" s="206"/>
      <c r="E127" s="36" t="s">
        <v>31</v>
      </c>
      <c r="F127" s="195">
        <f>SUM(F125:F126)</f>
        <v>-8011433.7428692691</v>
      </c>
      <c r="G127" s="195">
        <f>SUM(G125:G126)</f>
        <v>0</v>
      </c>
      <c r="H127" s="196">
        <f>SUM(H125:H126)</f>
        <v>-8011433.7428692691</v>
      </c>
      <c r="I127" s="27">
        <f>'Rate Base'!I127</f>
        <v>0</v>
      </c>
      <c r="J127" s="27">
        <f>'Rate Base'!J127</f>
        <v>0</v>
      </c>
      <c r="K127" s="27">
        <f>'Rate Base'!K127</f>
        <v>0</v>
      </c>
      <c r="L127" s="27">
        <f>'Rate Base'!L127</f>
        <v>0</v>
      </c>
      <c r="M127" s="27">
        <f>'Rate Base'!M127</f>
        <v>0</v>
      </c>
      <c r="N127" s="27">
        <f>'Rate Base'!N127</f>
        <v>0</v>
      </c>
      <c r="O127" s="27">
        <f>'Rate Base'!O127</f>
        <v>0</v>
      </c>
      <c r="P127" s="27">
        <f>'Rate Base'!P127</f>
        <v>0</v>
      </c>
      <c r="Q127" s="27">
        <f>'Rate Base'!Q127</f>
        <v>0</v>
      </c>
      <c r="R127" s="27">
        <f>'Rate Base'!R127</f>
        <v>0</v>
      </c>
    </row>
    <row r="128" spans="4:18">
      <c r="D128" s="206"/>
      <c r="E128" s="37"/>
      <c r="F128" s="199"/>
      <c r="G128" s="199"/>
      <c r="H128" s="200"/>
      <c r="I128" s="27">
        <f>'Rate Base'!I128</f>
        <v>0</v>
      </c>
      <c r="J128" s="27">
        <f>'Rate Base'!J128</f>
        <v>0</v>
      </c>
      <c r="K128" s="27">
        <f>'Rate Base'!K128</f>
        <v>0</v>
      </c>
      <c r="L128" s="27">
        <f>'Rate Base'!L128</f>
        <v>0</v>
      </c>
      <c r="M128" s="27">
        <f>'Rate Base'!M128</f>
        <v>0</v>
      </c>
      <c r="N128" s="27">
        <f>'Rate Base'!N128</f>
        <v>0</v>
      </c>
      <c r="O128" s="27">
        <f>'Rate Base'!O128</f>
        <v>0</v>
      </c>
      <c r="P128" s="27">
        <f>'Rate Base'!P128</f>
        <v>0</v>
      </c>
      <c r="Q128" s="27">
        <f>'Rate Base'!Q128</f>
        <v>0</v>
      </c>
      <c r="R128" s="27">
        <f>'Rate Base'!R128</f>
        <v>0</v>
      </c>
    </row>
    <row r="129" spans="4:18" ht="13.8" thickBot="1">
      <c r="D129" s="206"/>
      <c r="E129" s="29" t="s">
        <v>32</v>
      </c>
      <c r="F129" s="24">
        <f>+F116+F122+F127</f>
        <v>732168135.72268093</v>
      </c>
      <c r="G129" s="24">
        <f>+G116+G122+G127</f>
        <v>21789550.323770303</v>
      </c>
      <c r="H129" s="39">
        <f>+H116+H122+H127</f>
        <v>753957686.04645133</v>
      </c>
      <c r="I129" s="27">
        <f>'Rate Base'!I129</f>
        <v>0</v>
      </c>
      <c r="J129" s="27">
        <f>'Rate Base'!J129</f>
        <v>0</v>
      </c>
      <c r="K129" s="27">
        <f>'Rate Base'!K129</f>
        <v>0</v>
      </c>
      <c r="L129" s="27">
        <f>'Rate Base'!L129</f>
        <v>0</v>
      </c>
      <c r="M129" s="27">
        <f>'Rate Base'!M129</f>
        <v>0</v>
      </c>
      <c r="N129" s="27">
        <f>'Rate Base'!N129</f>
        <v>0</v>
      </c>
      <c r="O129" s="27">
        <f>'Rate Base'!O129</f>
        <v>0</v>
      </c>
      <c r="P129" s="27">
        <f>'Rate Base'!P129</f>
        <v>0</v>
      </c>
      <c r="Q129" s="27">
        <f>'Rate Base'!Q129</f>
        <v>0</v>
      </c>
      <c r="R129" s="27">
        <f>'Rate Base'!R129</f>
        <v>0</v>
      </c>
    </row>
    <row r="130" spans="4:18" ht="13.8" thickTop="1">
      <c r="D130" s="206"/>
      <c r="E130" s="21"/>
      <c r="F130" s="20"/>
      <c r="G130" s="182"/>
      <c r="H130" s="216"/>
      <c r="I130" s="27"/>
      <c r="J130" s="27"/>
      <c r="K130" s="27"/>
      <c r="L130" s="27"/>
      <c r="M130" s="27"/>
      <c r="N130" s="27"/>
      <c r="O130" s="27"/>
      <c r="P130" s="27"/>
      <c r="Q130" s="27"/>
      <c r="R130" s="27"/>
    </row>
    <row r="131" spans="4:18">
      <c r="D131" s="206"/>
      <c r="E131" s="21" t="s">
        <v>33</v>
      </c>
      <c r="F131" s="229"/>
      <c r="G131" s="182"/>
      <c r="H131" s="216"/>
      <c r="I131" s="27"/>
      <c r="J131" s="27"/>
      <c r="K131" s="27"/>
      <c r="L131" s="27"/>
      <c r="M131" s="27"/>
      <c r="N131" s="27"/>
      <c r="O131" s="27"/>
      <c r="P131" s="27"/>
      <c r="Q131" s="27"/>
      <c r="R131" s="27"/>
    </row>
    <row r="132" spans="4:18">
      <c r="D132" s="206"/>
      <c r="E132" s="283" t="s">
        <v>1774</v>
      </c>
      <c r="F132" s="376">
        <f>'Rate Base'!F132</f>
        <v>0</v>
      </c>
      <c r="G132" s="27">
        <f>SUM(I132:R132)</f>
        <v>0</v>
      </c>
      <c r="H132" s="31">
        <f>F132+G132</f>
        <v>0</v>
      </c>
      <c r="I132" s="27">
        <f>'Rate Base'!I132</f>
        <v>0</v>
      </c>
      <c r="J132" s="27">
        <f>'Rate Base'!J132</f>
        <v>0</v>
      </c>
      <c r="K132" s="27">
        <f>'Rate Base'!K132</f>
        <v>0</v>
      </c>
      <c r="L132" s="27">
        <f>'Rate Base'!L132</f>
        <v>0</v>
      </c>
      <c r="M132" s="27">
        <f>'Rate Base'!M132</f>
        <v>0</v>
      </c>
      <c r="N132" s="27">
        <f>'Rate Base'!N132</f>
        <v>0</v>
      </c>
      <c r="O132" s="27">
        <f>'Rate Base'!O132</f>
        <v>0</v>
      </c>
      <c r="P132" s="27">
        <f>'Rate Base'!P132</f>
        <v>0</v>
      </c>
      <c r="Q132" s="27">
        <f>'Rate Base'!Q132</f>
        <v>0</v>
      </c>
      <c r="R132" s="27">
        <f>'Rate Base'!R132</f>
        <v>0</v>
      </c>
    </row>
    <row r="133" spans="4:18">
      <c r="D133" s="40">
        <v>182.3</v>
      </c>
      <c r="E133" s="12" t="s">
        <v>428</v>
      </c>
      <c r="F133" s="376">
        <f>'Rate Base'!F133</f>
        <v>1094518.56</v>
      </c>
      <c r="G133" s="27">
        <f>SUM(I133:R133)</f>
        <v>0</v>
      </c>
      <c r="H133" s="31">
        <f>F133+G133</f>
        <v>1094518.56</v>
      </c>
      <c r="I133" s="27">
        <f>'Rate Base'!I133</f>
        <v>0</v>
      </c>
      <c r="J133" s="27">
        <f>'Rate Base'!J133</f>
        <v>0</v>
      </c>
      <c r="K133" s="27">
        <f>'Rate Base'!K133</f>
        <v>0</v>
      </c>
      <c r="L133" s="27">
        <f>'Rate Base'!L133</f>
        <v>0</v>
      </c>
      <c r="M133" s="27">
        <f>'Rate Base'!M133</f>
        <v>0</v>
      </c>
      <c r="N133" s="27">
        <f>'Rate Base'!N133</f>
        <v>0</v>
      </c>
      <c r="O133" s="27">
        <f>'Rate Base'!O133</f>
        <v>0</v>
      </c>
      <c r="P133" s="27">
        <f>'Rate Base'!P133</f>
        <v>0</v>
      </c>
      <c r="Q133" s="27">
        <f>'Rate Base'!Q133</f>
        <v>0</v>
      </c>
      <c r="R133" s="27">
        <f>'Rate Base'!R133</f>
        <v>0</v>
      </c>
    </row>
    <row r="134" spans="4:18">
      <c r="D134" s="13">
        <v>242</v>
      </c>
      <c r="E134" s="12" t="s">
        <v>427</v>
      </c>
      <c r="F134" s="376">
        <f>'Rate Base'!F134</f>
        <v>-24912739.370000001</v>
      </c>
      <c r="G134" s="27">
        <f>SUM(I134:R134)</f>
        <v>-11195</v>
      </c>
      <c r="H134" s="31">
        <f>F134+G134</f>
        <v>-24923934.370000001</v>
      </c>
      <c r="I134" s="27">
        <f>'Rate Base'!I134</f>
        <v>-11195</v>
      </c>
      <c r="J134" s="27">
        <f>'Rate Base'!J134</f>
        <v>0</v>
      </c>
      <c r="K134" s="27">
        <f>'Rate Base'!K134</f>
        <v>0</v>
      </c>
      <c r="L134" s="27">
        <f>'Rate Base'!L134</f>
        <v>0</v>
      </c>
      <c r="M134" s="27">
        <f>'Rate Base'!M134</f>
        <v>0</v>
      </c>
      <c r="N134" s="27">
        <f>'Rate Base'!N134</f>
        <v>0</v>
      </c>
      <c r="O134" s="27">
        <f>'Rate Base'!O134</f>
        <v>0</v>
      </c>
      <c r="P134" s="27">
        <f>'Rate Base'!P134</f>
        <v>0</v>
      </c>
      <c r="Q134" s="27">
        <f>'Rate Base'!Q134</f>
        <v>0</v>
      </c>
      <c r="R134" s="27">
        <f>'Rate Base'!R134</f>
        <v>0</v>
      </c>
    </row>
    <row r="135" spans="4:18">
      <c r="D135" s="206"/>
      <c r="E135" s="36" t="s">
        <v>34</v>
      </c>
      <c r="F135" s="195">
        <f>SUM(F132:F134)</f>
        <v>-23818220.810000002</v>
      </c>
      <c r="G135" s="195">
        <f>SUM(G132:G134)</f>
        <v>-11195</v>
      </c>
      <c r="H135" s="196">
        <f>SUM(H132:H134)</f>
        <v>-23829415.810000002</v>
      </c>
      <c r="I135" s="27">
        <f>'Rate Base'!I135</f>
        <v>0</v>
      </c>
      <c r="J135" s="27">
        <f>'Rate Base'!J135</f>
        <v>0</v>
      </c>
      <c r="K135" s="27">
        <f>'Rate Base'!K135</f>
        <v>0</v>
      </c>
      <c r="L135" s="27">
        <f>'Rate Base'!L135</f>
        <v>0</v>
      </c>
      <c r="M135" s="27">
        <f>'Rate Base'!M135</f>
        <v>0</v>
      </c>
      <c r="N135" s="27">
        <f>'Rate Base'!N135</f>
        <v>0</v>
      </c>
      <c r="O135" s="27">
        <f>'Rate Base'!O135</f>
        <v>0</v>
      </c>
      <c r="P135" s="27">
        <f>'Rate Base'!P135</f>
        <v>0</v>
      </c>
      <c r="Q135" s="27">
        <f>'Rate Base'!Q135</f>
        <v>0</v>
      </c>
      <c r="R135" s="27">
        <f>'Rate Base'!R135</f>
        <v>0</v>
      </c>
    </row>
    <row r="136" spans="4:18">
      <c r="D136" s="206"/>
      <c r="E136" s="21"/>
      <c r="F136" s="209"/>
      <c r="G136" s="182"/>
      <c r="H136" s="216"/>
      <c r="I136" s="27"/>
      <c r="J136" s="27"/>
      <c r="K136" s="27"/>
      <c r="L136" s="27"/>
      <c r="M136" s="27"/>
      <c r="N136" s="27"/>
      <c r="O136" s="27"/>
      <c r="P136" s="27"/>
      <c r="Q136" s="27"/>
      <c r="R136" s="27"/>
    </row>
    <row r="137" spans="4:18">
      <c r="D137" s="206"/>
      <c r="E137" s="21" t="s">
        <v>35</v>
      </c>
      <c r="F137" s="229"/>
      <c r="G137" s="182"/>
      <c r="H137" s="216"/>
      <c r="I137" s="27"/>
      <c r="J137" s="27"/>
      <c r="K137" s="27"/>
      <c r="L137" s="27"/>
      <c r="M137" s="27"/>
      <c r="N137" s="27"/>
      <c r="O137" s="27"/>
      <c r="P137" s="27"/>
      <c r="Q137" s="27"/>
      <c r="R137" s="27"/>
    </row>
    <row r="138" spans="4:18">
      <c r="D138" s="189">
        <v>190</v>
      </c>
      <c r="E138" s="12" t="s">
        <v>36</v>
      </c>
      <c r="F138" s="954">
        <f>'Rate Base'!F138*H145</f>
        <v>34544290.979638442</v>
      </c>
      <c r="G138" s="27">
        <f>SUM(I138:R138)</f>
        <v>-962865</v>
      </c>
      <c r="H138" s="31">
        <f>F138+G138</f>
        <v>33581425.979638442</v>
      </c>
      <c r="I138" s="27">
        <f>'Rate Base'!I138</f>
        <v>-962865</v>
      </c>
      <c r="J138" s="27">
        <f>'Rate Base'!J138</f>
        <v>0</v>
      </c>
      <c r="K138" s="27">
        <f>'Rate Base'!K138</f>
        <v>0</v>
      </c>
      <c r="L138" s="27">
        <f>'Rate Base'!L138</f>
        <v>0</v>
      </c>
      <c r="M138" s="27">
        <f>'Rate Base'!M138</f>
        <v>0</v>
      </c>
      <c r="N138" s="27">
        <f>'Rate Base'!N138</f>
        <v>0</v>
      </c>
      <c r="O138" s="27">
        <f>'Rate Base'!O138</f>
        <v>0</v>
      </c>
      <c r="P138" s="27">
        <f>'Rate Base'!P138</f>
        <v>0</v>
      </c>
      <c r="Q138" s="27">
        <f>'Rate Base'!Q138</f>
        <v>0</v>
      </c>
      <c r="R138" s="27">
        <f>'Rate Base'!R138</f>
        <v>0</v>
      </c>
    </row>
    <row r="139" spans="4:18">
      <c r="D139" s="189">
        <v>282</v>
      </c>
      <c r="E139" s="12" t="s">
        <v>37</v>
      </c>
      <c r="F139" s="954">
        <f>'Rate Base'!F139*H145</f>
        <v>-124151571.26338813</v>
      </c>
      <c r="G139" s="27">
        <f>SUM(I139:R139)</f>
        <v>-758049.22108383104</v>
      </c>
      <c r="H139" s="31">
        <f>F139+G139</f>
        <v>-124909620.48447196</v>
      </c>
      <c r="I139" s="27">
        <f>'Rate Base'!I139</f>
        <v>-758049.22108383104</v>
      </c>
      <c r="J139" s="27">
        <f>'Rate Base'!J139</f>
        <v>0</v>
      </c>
      <c r="K139" s="27">
        <f>'Rate Base'!K139</f>
        <v>0</v>
      </c>
      <c r="L139" s="27">
        <f>'Rate Base'!L139</f>
        <v>0</v>
      </c>
      <c r="M139" s="27">
        <f>'Rate Base'!M139</f>
        <v>0</v>
      </c>
      <c r="N139" s="27">
        <f>'Rate Base'!N139</f>
        <v>0</v>
      </c>
      <c r="O139" s="27">
        <f>'Rate Base'!O139</f>
        <v>0</v>
      </c>
      <c r="P139" s="27">
        <f>'Rate Base'!P139</f>
        <v>0</v>
      </c>
      <c r="Q139" s="27">
        <f>'Rate Base'!Q139</f>
        <v>0</v>
      </c>
      <c r="R139" s="27">
        <f>'Rate Base'!R139</f>
        <v>0</v>
      </c>
    </row>
    <row r="140" spans="4:18">
      <c r="D140" s="189">
        <v>283</v>
      </c>
      <c r="E140" s="12" t="s">
        <v>38</v>
      </c>
      <c r="F140" s="954">
        <f>'Rate Base'!F140*H145</f>
        <v>-3132232.6967040654</v>
      </c>
      <c r="G140" s="27">
        <f>SUM(I140:R140)</f>
        <v>974041</v>
      </c>
      <c r="H140" s="31">
        <f>F140+G140</f>
        <v>-2158191.6967040654</v>
      </c>
      <c r="I140" s="27">
        <f>'Rate Base'!I140</f>
        <v>974041</v>
      </c>
      <c r="J140" s="27">
        <f>'Rate Base'!J140</f>
        <v>0</v>
      </c>
      <c r="K140" s="27">
        <f>'Rate Base'!K140</f>
        <v>0</v>
      </c>
      <c r="L140" s="27">
        <f>'Rate Base'!L140</f>
        <v>0</v>
      </c>
      <c r="M140" s="27">
        <f>'Rate Base'!M140</f>
        <v>0</v>
      </c>
      <c r="N140" s="27">
        <f>'Rate Base'!N140</f>
        <v>0</v>
      </c>
      <c r="O140" s="27">
        <f>'Rate Base'!O140</f>
        <v>0</v>
      </c>
      <c r="P140" s="27">
        <f>'Rate Base'!P140</f>
        <v>0</v>
      </c>
      <c r="Q140" s="27">
        <f>'Rate Base'!Q140</f>
        <v>0</v>
      </c>
      <c r="R140" s="27">
        <f>'Rate Base'!R140</f>
        <v>0</v>
      </c>
    </row>
    <row r="141" spans="4:18">
      <c r="D141" s="206"/>
      <c r="E141" s="36" t="s">
        <v>39</v>
      </c>
      <c r="F141" s="195">
        <f>SUM(F138:F140)</f>
        <v>-92739512.980453745</v>
      </c>
      <c r="G141" s="195">
        <f>SUM(G138:G140)</f>
        <v>-746873.22108383104</v>
      </c>
      <c r="H141" s="196">
        <f>SUM(H138:H140)</f>
        <v>-93486386.201537579</v>
      </c>
      <c r="I141" s="27">
        <f>'Rate Base'!I141</f>
        <v>0</v>
      </c>
      <c r="J141" s="27">
        <f>'Rate Base'!J141</f>
        <v>0</v>
      </c>
      <c r="K141" s="27">
        <f>'Rate Base'!K141</f>
        <v>0</v>
      </c>
      <c r="L141" s="27">
        <f>'Rate Base'!L141</f>
        <v>0</v>
      </c>
      <c r="M141" s="27">
        <f>'Rate Base'!M141</f>
        <v>0</v>
      </c>
      <c r="N141" s="27">
        <f>'Rate Base'!N141</f>
        <v>0</v>
      </c>
      <c r="O141" s="27">
        <f>'Rate Base'!O141</f>
        <v>0</v>
      </c>
      <c r="P141" s="27">
        <f>'Rate Base'!P141</f>
        <v>0</v>
      </c>
      <c r="Q141" s="27">
        <f>'Rate Base'!Q141</f>
        <v>0</v>
      </c>
      <c r="R141" s="27">
        <f>'Rate Base'!R141</f>
        <v>0</v>
      </c>
    </row>
    <row r="142" spans="4:18">
      <c r="D142" s="206"/>
      <c r="E142" s="37"/>
      <c r="F142" s="199"/>
      <c r="G142" s="199"/>
      <c r="H142" s="200"/>
      <c r="I142" s="27"/>
      <c r="J142" s="27"/>
      <c r="K142" s="27"/>
      <c r="L142" s="27"/>
      <c r="M142" s="27"/>
      <c r="N142" s="27"/>
      <c r="O142" s="27"/>
      <c r="P142" s="27"/>
      <c r="Q142" s="27"/>
      <c r="R142" s="27"/>
    </row>
    <row r="143" spans="4:18" ht="13.8" thickBot="1">
      <c r="D143" s="206"/>
      <c r="E143" s="41" t="s">
        <v>40</v>
      </c>
      <c r="F143" s="214">
        <f>+F129+F135+F141</f>
        <v>615610401.93222713</v>
      </c>
      <c r="G143" s="214">
        <f>+G129+G135+G141</f>
        <v>21031482.102686472</v>
      </c>
      <c r="H143" s="215">
        <f>+H129+H135+H141</f>
        <v>636641884.03491378</v>
      </c>
      <c r="I143" s="27"/>
      <c r="J143" s="27"/>
      <c r="K143" s="27"/>
      <c r="L143" s="27"/>
      <c r="M143" s="27"/>
      <c r="N143" s="27"/>
      <c r="O143" s="27"/>
      <c r="P143" s="27"/>
      <c r="Q143" s="27"/>
      <c r="R143" s="27"/>
    </row>
    <row r="145" spans="5:8">
      <c r="F145" s="35" t="s">
        <v>315</v>
      </c>
      <c r="G145" s="233"/>
      <c r="H145" s="948">
        <f>H109/'Rate Base'!H109</f>
        <v>2.5133836738537858</v>
      </c>
    </row>
    <row r="146" spans="5:8">
      <c r="F146" s="27"/>
      <c r="G146" s="27"/>
      <c r="H146" s="425"/>
    </row>
    <row r="147" spans="5:8" ht="13.8" thickBot="1">
      <c r="H147" s="27" t="s">
        <v>655</v>
      </c>
    </row>
    <row r="148" spans="5:8" ht="13.8" thickBot="1">
      <c r="F148" s="224" t="s">
        <v>316</v>
      </c>
      <c r="G148" s="225"/>
      <c r="H148" s="226"/>
    </row>
    <row r="149" spans="5:8">
      <c r="F149" s="27"/>
      <c r="G149" s="27"/>
      <c r="H149" s="27"/>
    </row>
    <row r="150" spans="5:8">
      <c r="E150" s="227"/>
      <c r="F150" s="20" t="s">
        <v>151</v>
      </c>
      <c r="G150" s="20" t="s">
        <v>166</v>
      </c>
      <c r="H150" s="20" t="s">
        <v>152</v>
      </c>
    </row>
    <row r="151" spans="5:8">
      <c r="F151" s="228" t="s">
        <v>3</v>
      </c>
      <c r="G151" s="228" t="s">
        <v>3</v>
      </c>
      <c r="H151" s="228" t="s">
        <v>3</v>
      </c>
    </row>
    <row r="152" spans="5:8">
      <c r="E152" s="44"/>
      <c r="H152" s="12"/>
    </row>
    <row r="153" spans="5:8">
      <c r="E153" s="44" t="s">
        <v>305</v>
      </c>
      <c r="F153" s="43">
        <f>+F56/1000</f>
        <v>1359391.7576768622</v>
      </c>
      <c r="G153" s="43">
        <f>+G56/1000</f>
        <v>-15830.419374548697</v>
      </c>
      <c r="H153" s="43">
        <f>+H56/1000</f>
        <v>1343561.3383023138</v>
      </c>
    </row>
    <row r="154" spans="5:8">
      <c r="E154" s="44" t="s">
        <v>306</v>
      </c>
      <c r="F154" s="43">
        <f>'B3 P1'!E11</f>
        <v>1359391.7576768622</v>
      </c>
      <c r="G154" s="43">
        <f>'B3 P1'!G11</f>
        <v>-15830.419374548706</v>
      </c>
      <c r="H154" s="43">
        <f>'B1'!G11</f>
        <v>1343561.3383023136</v>
      </c>
    </row>
    <row r="155" spans="5:8">
      <c r="E155" s="44" t="s">
        <v>3</v>
      </c>
      <c r="F155" s="43">
        <f>+F153-F154</f>
        <v>0</v>
      </c>
      <c r="G155" s="43">
        <f>+G153-G154</f>
        <v>0</v>
      </c>
      <c r="H155" s="43">
        <f>+H153-H154</f>
        <v>0</v>
      </c>
    </row>
    <row r="156" spans="5:8">
      <c r="E156" s="44"/>
      <c r="F156" s="43"/>
      <c r="G156" s="43"/>
      <c r="H156" s="43"/>
    </row>
    <row r="157" spans="5:8">
      <c r="E157" s="44" t="s">
        <v>307</v>
      </c>
      <c r="F157" s="43">
        <f>+F109/1000</f>
        <v>622158.19212131226</v>
      </c>
      <c r="G157" s="43">
        <f>+G109/1000</f>
        <v>-42792.728736520759</v>
      </c>
      <c r="H157" s="43">
        <f>+H109/1000</f>
        <v>579365.46338479151</v>
      </c>
    </row>
    <row r="158" spans="5:8">
      <c r="E158" s="44" t="s">
        <v>308</v>
      </c>
      <c r="F158" s="43">
        <f>'B3 P1'!E13</f>
        <v>622158.19212131226</v>
      </c>
      <c r="G158" s="43">
        <f>'B3 P1'!G13</f>
        <v>-42792.728736520767</v>
      </c>
      <c r="H158" s="43">
        <f>'B3 P1'!I13</f>
        <v>579365.46338479151</v>
      </c>
    </row>
    <row r="159" spans="5:8">
      <c r="E159" s="44" t="s">
        <v>3</v>
      </c>
      <c r="F159" s="43">
        <f>+F157-F158</f>
        <v>0</v>
      </c>
      <c r="G159" s="43">
        <f>+G157-G158</f>
        <v>0</v>
      </c>
      <c r="H159" s="43">
        <f>+H157-H158</f>
        <v>0</v>
      </c>
    </row>
    <row r="161" spans="5:8">
      <c r="E161" s="44" t="s">
        <v>309</v>
      </c>
      <c r="F161" s="43">
        <f>+F116/1000</f>
        <v>737233.56555555027</v>
      </c>
      <c r="G161" s="43">
        <f>+G116/1000</f>
        <v>26962.309361972057</v>
      </c>
      <c r="H161" s="43">
        <f>+H116/1000</f>
        <v>764195.87491752231</v>
      </c>
    </row>
    <row r="162" spans="5:8">
      <c r="E162" s="44" t="s">
        <v>310</v>
      </c>
      <c r="F162" s="43">
        <f>'B3 P1'!E15</f>
        <v>737233.56555554993</v>
      </c>
      <c r="G162" s="43">
        <f>'B3 P1'!G19</f>
        <v>26962.30936197206</v>
      </c>
      <c r="H162" s="43">
        <f>'B3 P1'!I15</f>
        <v>764195.87491752207</v>
      </c>
    </row>
    <row r="163" spans="5:8">
      <c r="E163" s="44" t="s">
        <v>3</v>
      </c>
      <c r="F163" s="43">
        <f>+F161-F162</f>
        <v>0</v>
      </c>
      <c r="G163" s="43">
        <f>+G161-G162</f>
        <v>0</v>
      </c>
      <c r="H163" s="43">
        <f>+H161-H162</f>
        <v>0</v>
      </c>
    </row>
    <row r="164" spans="5:8">
      <c r="E164" s="44"/>
      <c r="F164" s="43"/>
      <c r="G164" s="43"/>
      <c r="H164" s="43"/>
    </row>
    <row r="165" spans="5:8">
      <c r="E165" s="44" t="s">
        <v>311</v>
      </c>
      <c r="F165" s="43">
        <f>+F143/1000</f>
        <v>615610.40193222719</v>
      </c>
      <c r="G165" s="43">
        <f>+G143/1000</f>
        <v>21031.482102686474</v>
      </c>
      <c r="H165" s="43">
        <f>+H143/1000</f>
        <v>636641.88403491373</v>
      </c>
    </row>
    <row r="166" spans="5:8">
      <c r="E166" s="44" t="s">
        <v>312</v>
      </c>
      <c r="F166" s="43">
        <f>'B3 P1'!E38</f>
        <v>615610.40193222696</v>
      </c>
      <c r="G166" s="43">
        <f>'B3 P1'!G38</f>
        <v>21031.482102686477</v>
      </c>
      <c r="H166" s="43">
        <f>'B3 P1'!I38</f>
        <v>636641.88403491338</v>
      </c>
    </row>
    <row r="167" spans="5:8">
      <c r="E167" s="44" t="s">
        <v>3</v>
      </c>
      <c r="F167" s="977">
        <f>+F165-F166</f>
        <v>0</v>
      </c>
      <c r="G167" s="43">
        <f>+G165-G166</f>
        <v>0</v>
      </c>
      <c r="H167" s="43">
        <f>+H165-H166</f>
        <v>0</v>
      </c>
    </row>
  </sheetData>
  <printOptions horizontalCentered="1" gridLines="1"/>
  <pageMargins left="0" right="0" top="0.75" bottom="0.65" header="0.5" footer="0.2"/>
  <pageSetup scale="44" fitToHeight="4" orientation="landscape" r:id="rId1"/>
  <headerFooter alignWithMargins="0">
    <oddFooter>&amp;CPage &amp;P of &amp;N&amp;R&amp;D  &amp;T</oddFooter>
  </headerFooter>
  <rowBreaks count="1" manualBreakCount="1">
    <brk id="146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00B050"/>
  </sheetPr>
  <dimension ref="A1:CC153"/>
  <sheetViews>
    <sheetView topLeftCell="B1" zoomScale="80" zoomScaleNormal="80" workbookViewId="0">
      <pane ySplit="7" topLeftCell="A8" activePane="bottomLeft" state="frozen"/>
      <selection sqref="A1:F1"/>
      <selection pane="bottomLeft" sqref="A1:F1"/>
    </sheetView>
  </sheetViews>
  <sheetFormatPr defaultColWidth="8.5546875" defaultRowHeight="13.2"/>
  <cols>
    <col min="1" max="1" width="14.109375" style="12" hidden="1" customWidth="1"/>
    <col min="2" max="2" width="12.5546875" style="12" customWidth="1"/>
    <col min="3" max="3" width="50.5546875" style="12" customWidth="1"/>
    <col min="4" max="5" width="17.5546875" style="12" customWidth="1"/>
    <col min="6" max="6" width="17.5546875" style="13" customWidth="1"/>
    <col min="7" max="16" width="15.5546875" style="13" customWidth="1"/>
    <col min="20" max="247" width="8.5546875" style="12"/>
    <col min="248" max="248" width="12.5546875" style="12" customWidth="1"/>
    <col min="249" max="249" width="28.5546875" style="12" customWidth="1"/>
    <col min="250" max="252" width="18.5546875" style="12" customWidth="1"/>
    <col min="253" max="253" width="16.5546875" style="12" customWidth="1"/>
    <col min="254" max="254" width="1.5546875" style="12" customWidth="1"/>
    <col min="255" max="255" width="16.5546875" style="12" customWidth="1"/>
    <col min="256" max="256" width="1.5546875" style="12" customWidth="1"/>
    <col min="257" max="257" width="16.5546875" style="12" customWidth="1"/>
    <col min="258" max="258" width="1.5546875" style="12" customWidth="1"/>
    <col min="259" max="259" width="16.5546875" style="12" customWidth="1"/>
    <col min="260" max="260" width="1.5546875" style="12" customWidth="1"/>
    <col min="261" max="261" width="16.5546875" style="12" customWidth="1"/>
    <col min="262" max="262" width="1.5546875" style="12" customWidth="1"/>
    <col min="263" max="263" width="16.5546875" style="12" customWidth="1"/>
    <col min="264" max="264" width="1.5546875" style="12" customWidth="1"/>
    <col min="265" max="265" width="16.5546875" style="12" customWidth="1"/>
    <col min="266" max="266" width="1.5546875" style="12" customWidth="1"/>
    <col min="267" max="267" width="16.5546875" style="12" customWidth="1"/>
    <col min="268" max="268" width="1.5546875" style="12" customWidth="1"/>
    <col min="269" max="270" width="16.5546875" style="12" customWidth="1"/>
    <col min="271" max="503" width="8.5546875" style="12"/>
    <col min="504" max="504" width="12.5546875" style="12" customWidth="1"/>
    <col min="505" max="505" width="28.5546875" style="12" customWidth="1"/>
    <col min="506" max="508" width="18.5546875" style="12" customWidth="1"/>
    <col min="509" max="509" width="16.5546875" style="12" customWidth="1"/>
    <col min="510" max="510" width="1.5546875" style="12" customWidth="1"/>
    <col min="511" max="511" width="16.5546875" style="12" customWidth="1"/>
    <col min="512" max="512" width="1.5546875" style="12" customWidth="1"/>
    <col min="513" max="513" width="16.5546875" style="12" customWidth="1"/>
    <col min="514" max="514" width="1.5546875" style="12" customWidth="1"/>
    <col min="515" max="515" width="16.5546875" style="12" customWidth="1"/>
    <col min="516" max="516" width="1.5546875" style="12" customWidth="1"/>
    <col min="517" max="517" width="16.5546875" style="12" customWidth="1"/>
    <col min="518" max="518" width="1.5546875" style="12" customWidth="1"/>
    <col min="519" max="519" width="16.5546875" style="12" customWidth="1"/>
    <col min="520" max="520" width="1.5546875" style="12" customWidth="1"/>
    <col min="521" max="521" width="16.5546875" style="12" customWidth="1"/>
    <col min="522" max="522" width="1.5546875" style="12" customWidth="1"/>
    <col min="523" max="523" width="16.5546875" style="12" customWidth="1"/>
    <col min="524" max="524" width="1.5546875" style="12" customWidth="1"/>
    <col min="525" max="526" width="16.5546875" style="12" customWidth="1"/>
    <col min="527" max="759" width="8.5546875" style="12"/>
    <col min="760" max="760" width="12.5546875" style="12" customWidth="1"/>
    <col min="761" max="761" width="28.5546875" style="12" customWidth="1"/>
    <col min="762" max="764" width="18.5546875" style="12" customWidth="1"/>
    <col min="765" max="765" width="16.5546875" style="12" customWidth="1"/>
    <col min="766" max="766" width="1.5546875" style="12" customWidth="1"/>
    <col min="767" max="767" width="16.5546875" style="12" customWidth="1"/>
    <col min="768" max="768" width="1.5546875" style="12" customWidth="1"/>
    <col min="769" max="769" width="16.5546875" style="12" customWidth="1"/>
    <col min="770" max="770" width="1.5546875" style="12" customWidth="1"/>
    <col min="771" max="771" width="16.5546875" style="12" customWidth="1"/>
    <col min="772" max="772" width="1.5546875" style="12" customWidth="1"/>
    <col min="773" max="773" width="16.5546875" style="12" customWidth="1"/>
    <col min="774" max="774" width="1.5546875" style="12" customWidth="1"/>
    <col min="775" max="775" width="16.5546875" style="12" customWidth="1"/>
    <col min="776" max="776" width="1.5546875" style="12" customWidth="1"/>
    <col min="777" max="777" width="16.5546875" style="12" customWidth="1"/>
    <col min="778" max="778" width="1.5546875" style="12" customWidth="1"/>
    <col min="779" max="779" width="16.5546875" style="12" customWidth="1"/>
    <col min="780" max="780" width="1.5546875" style="12" customWidth="1"/>
    <col min="781" max="782" width="16.5546875" style="12" customWidth="1"/>
    <col min="783" max="1015" width="8.5546875" style="12"/>
    <col min="1016" max="1016" width="12.5546875" style="12" customWidth="1"/>
    <col min="1017" max="1017" width="28.5546875" style="12" customWidth="1"/>
    <col min="1018" max="1020" width="18.5546875" style="12" customWidth="1"/>
    <col min="1021" max="1021" width="16.5546875" style="12" customWidth="1"/>
    <col min="1022" max="1022" width="1.5546875" style="12" customWidth="1"/>
    <col min="1023" max="1023" width="16.5546875" style="12" customWidth="1"/>
    <col min="1024" max="1024" width="1.5546875" style="12" customWidth="1"/>
    <col min="1025" max="1025" width="16.5546875" style="12" customWidth="1"/>
    <col min="1026" max="1026" width="1.5546875" style="12" customWidth="1"/>
    <col min="1027" max="1027" width="16.5546875" style="12" customWidth="1"/>
    <col min="1028" max="1028" width="1.5546875" style="12" customWidth="1"/>
    <col min="1029" max="1029" width="16.5546875" style="12" customWidth="1"/>
    <col min="1030" max="1030" width="1.5546875" style="12" customWidth="1"/>
    <col min="1031" max="1031" width="16.5546875" style="12" customWidth="1"/>
    <col min="1032" max="1032" width="1.5546875" style="12" customWidth="1"/>
    <col min="1033" max="1033" width="16.5546875" style="12" customWidth="1"/>
    <col min="1034" max="1034" width="1.5546875" style="12" customWidth="1"/>
    <col min="1035" max="1035" width="16.5546875" style="12" customWidth="1"/>
    <col min="1036" max="1036" width="1.5546875" style="12" customWidth="1"/>
    <col min="1037" max="1038" width="16.5546875" style="12" customWidth="1"/>
    <col min="1039" max="1271" width="8.5546875" style="12"/>
    <col min="1272" max="1272" width="12.5546875" style="12" customWidth="1"/>
    <col min="1273" max="1273" width="28.5546875" style="12" customWidth="1"/>
    <col min="1274" max="1276" width="18.5546875" style="12" customWidth="1"/>
    <col min="1277" max="1277" width="16.5546875" style="12" customWidth="1"/>
    <col min="1278" max="1278" width="1.5546875" style="12" customWidth="1"/>
    <col min="1279" max="1279" width="16.5546875" style="12" customWidth="1"/>
    <col min="1280" max="1280" width="1.5546875" style="12" customWidth="1"/>
    <col min="1281" max="1281" width="16.5546875" style="12" customWidth="1"/>
    <col min="1282" max="1282" width="1.5546875" style="12" customWidth="1"/>
    <col min="1283" max="1283" width="16.5546875" style="12" customWidth="1"/>
    <col min="1284" max="1284" width="1.5546875" style="12" customWidth="1"/>
    <col min="1285" max="1285" width="16.5546875" style="12" customWidth="1"/>
    <col min="1286" max="1286" width="1.5546875" style="12" customWidth="1"/>
    <col min="1287" max="1287" width="16.5546875" style="12" customWidth="1"/>
    <col min="1288" max="1288" width="1.5546875" style="12" customWidth="1"/>
    <col min="1289" max="1289" width="16.5546875" style="12" customWidth="1"/>
    <col min="1290" max="1290" width="1.5546875" style="12" customWidth="1"/>
    <col min="1291" max="1291" width="16.5546875" style="12" customWidth="1"/>
    <col min="1292" max="1292" width="1.5546875" style="12" customWidth="1"/>
    <col min="1293" max="1294" width="16.5546875" style="12" customWidth="1"/>
    <col min="1295" max="1527" width="8.5546875" style="12"/>
    <col min="1528" max="1528" width="12.5546875" style="12" customWidth="1"/>
    <col min="1529" max="1529" width="28.5546875" style="12" customWidth="1"/>
    <col min="1530" max="1532" width="18.5546875" style="12" customWidth="1"/>
    <col min="1533" max="1533" width="16.5546875" style="12" customWidth="1"/>
    <col min="1534" max="1534" width="1.5546875" style="12" customWidth="1"/>
    <col min="1535" max="1535" width="16.5546875" style="12" customWidth="1"/>
    <col min="1536" max="1536" width="1.5546875" style="12" customWidth="1"/>
    <col min="1537" max="1537" width="16.5546875" style="12" customWidth="1"/>
    <col min="1538" max="1538" width="1.5546875" style="12" customWidth="1"/>
    <col min="1539" max="1539" width="16.5546875" style="12" customWidth="1"/>
    <col min="1540" max="1540" width="1.5546875" style="12" customWidth="1"/>
    <col min="1541" max="1541" width="16.5546875" style="12" customWidth="1"/>
    <col min="1542" max="1542" width="1.5546875" style="12" customWidth="1"/>
    <col min="1543" max="1543" width="16.5546875" style="12" customWidth="1"/>
    <col min="1544" max="1544" width="1.5546875" style="12" customWidth="1"/>
    <col min="1545" max="1545" width="16.5546875" style="12" customWidth="1"/>
    <col min="1546" max="1546" width="1.5546875" style="12" customWidth="1"/>
    <col min="1547" max="1547" width="16.5546875" style="12" customWidth="1"/>
    <col min="1548" max="1548" width="1.5546875" style="12" customWidth="1"/>
    <col min="1549" max="1550" width="16.5546875" style="12" customWidth="1"/>
    <col min="1551" max="1783" width="8.5546875" style="12"/>
    <col min="1784" max="1784" width="12.5546875" style="12" customWidth="1"/>
    <col min="1785" max="1785" width="28.5546875" style="12" customWidth="1"/>
    <col min="1786" max="1788" width="18.5546875" style="12" customWidth="1"/>
    <col min="1789" max="1789" width="16.5546875" style="12" customWidth="1"/>
    <col min="1790" max="1790" width="1.5546875" style="12" customWidth="1"/>
    <col min="1791" max="1791" width="16.5546875" style="12" customWidth="1"/>
    <col min="1792" max="1792" width="1.5546875" style="12" customWidth="1"/>
    <col min="1793" max="1793" width="16.5546875" style="12" customWidth="1"/>
    <col min="1794" max="1794" width="1.5546875" style="12" customWidth="1"/>
    <col min="1795" max="1795" width="16.5546875" style="12" customWidth="1"/>
    <col min="1796" max="1796" width="1.5546875" style="12" customWidth="1"/>
    <col min="1797" max="1797" width="16.5546875" style="12" customWidth="1"/>
    <col min="1798" max="1798" width="1.5546875" style="12" customWidth="1"/>
    <col min="1799" max="1799" width="16.5546875" style="12" customWidth="1"/>
    <col min="1800" max="1800" width="1.5546875" style="12" customWidth="1"/>
    <col min="1801" max="1801" width="16.5546875" style="12" customWidth="1"/>
    <col min="1802" max="1802" width="1.5546875" style="12" customWidth="1"/>
    <col min="1803" max="1803" width="16.5546875" style="12" customWidth="1"/>
    <col min="1804" max="1804" width="1.5546875" style="12" customWidth="1"/>
    <col min="1805" max="1806" width="16.5546875" style="12" customWidth="1"/>
    <col min="1807" max="2039" width="8.5546875" style="12"/>
    <col min="2040" max="2040" width="12.5546875" style="12" customWidth="1"/>
    <col min="2041" max="2041" width="28.5546875" style="12" customWidth="1"/>
    <col min="2042" max="2044" width="18.5546875" style="12" customWidth="1"/>
    <col min="2045" max="2045" width="16.5546875" style="12" customWidth="1"/>
    <col min="2046" max="2046" width="1.5546875" style="12" customWidth="1"/>
    <col min="2047" max="2047" width="16.5546875" style="12" customWidth="1"/>
    <col min="2048" max="2048" width="1.5546875" style="12" customWidth="1"/>
    <col min="2049" max="2049" width="16.5546875" style="12" customWidth="1"/>
    <col min="2050" max="2050" width="1.5546875" style="12" customWidth="1"/>
    <col min="2051" max="2051" width="16.5546875" style="12" customWidth="1"/>
    <col min="2052" max="2052" width="1.5546875" style="12" customWidth="1"/>
    <col min="2053" max="2053" width="16.5546875" style="12" customWidth="1"/>
    <col min="2054" max="2054" width="1.5546875" style="12" customWidth="1"/>
    <col min="2055" max="2055" width="16.5546875" style="12" customWidth="1"/>
    <col min="2056" max="2056" width="1.5546875" style="12" customWidth="1"/>
    <col min="2057" max="2057" width="16.5546875" style="12" customWidth="1"/>
    <col min="2058" max="2058" width="1.5546875" style="12" customWidth="1"/>
    <col min="2059" max="2059" width="16.5546875" style="12" customWidth="1"/>
    <col min="2060" max="2060" width="1.5546875" style="12" customWidth="1"/>
    <col min="2061" max="2062" width="16.5546875" style="12" customWidth="1"/>
    <col min="2063" max="2295" width="8.5546875" style="12"/>
    <col min="2296" max="2296" width="12.5546875" style="12" customWidth="1"/>
    <col min="2297" max="2297" width="28.5546875" style="12" customWidth="1"/>
    <col min="2298" max="2300" width="18.5546875" style="12" customWidth="1"/>
    <col min="2301" max="2301" width="16.5546875" style="12" customWidth="1"/>
    <col min="2302" max="2302" width="1.5546875" style="12" customWidth="1"/>
    <col min="2303" max="2303" width="16.5546875" style="12" customWidth="1"/>
    <col min="2304" max="2304" width="1.5546875" style="12" customWidth="1"/>
    <col min="2305" max="2305" width="16.5546875" style="12" customWidth="1"/>
    <col min="2306" max="2306" width="1.5546875" style="12" customWidth="1"/>
    <col min="2307" max="2307" width="16.5546875" style="12" customWidth="1"/>
    <col min="2308" max="2308" width="1.5546875" style="12" customWidth="1"/>
    <col min="2309" max="2309" width="16.5546875" style="12" customWidth="1"/>
    <col min="2310" max="2310" width="1.5546875" style="12" customWidth="1"/>
    <col min="2311" max="2311" width="16.5546875" style="12" customWidth="1"/>
    <col min="2312" max="2312" width="1.5546875" style="12" customWidth="1"/>
    <col min="2313" max="2313" width="16.5546875" style="12" customWidth="1"/>
    <col min="2314" max="2314" width="1.5546875" style="12" customWidth="1"/>
    <col min="2315" max="2315" width="16.5546875" style="12" customWidth="1"/>
    <col min="2316" max="2316" width="1.5546875" style="12" customWidth="1"/>
    <col min="2317" max="2318" width="16.5546875" style="12" customWidth="1"/>
    <col min="2319" max="2551" width="8.5546875" style="12"/>
    <col min="2552" max="2552" width="12.5546875" style="12" customWidth="1"/>
    <col min="2553" max="2553" width="28.5546875" style="12" customWidth="1"/>
    <col min="2554" max="2556" width="18.5546875" style="12" customWidth="1"/>
    <col min="2557" max="2557" width="16.5546875" style="12" customWidth="1"/>
    <col min="2558" max="2558" width="1.5546875" style="12" customWidth="1"/>
    <col min="2559" max="2559" width="16.5546875" style="12" customWidth="1"/>
    <col min="2560" max="2560" width="1.5546875" style="12" customWidth="1"/>
    <col min="2561" max="2561" width="16.5546875" style="12" customWidth="1"/>
    <col min="2562" max="2562" width="1.5546875" style="12" customWidth="1"/>
    <col min="2563" max="2563" width="16.5546875" style="12" customWidth="1"/>
    <col min="2564" max="2564" width="1.5546875" style="12" customWidth="1"/>
    <col min="2565" max="2565" width="16.5546875" style="12" customWidth="1"/>
    <col min="2566" max="2566" width="1.5546875" style="12" customWidth="1"/>
    <col min="2567" max="2567" width="16.5546875" style="12" customWidth="1"/>
    <col min="2568" max="2568" width="1.5546875" style="12" customWidth="1"/>
    <col min="2569" max="2569" width="16.5546875" style="12" customWidth="1"/>
    <col min="2570" max="2570" width="1.5546875" style="12" customWidth="1"/>
    <col min="2571" max="2571" width="16.5546875" style="12" customWidth="1"/>
    <col min="2572" max="2572" width="1.5546875" style="12" customWidth="1"/>
    <col min="2573" max="2574" width="16.5546875" style="12" customWidth="1"/>
    <col min="2575" max="2807" width="8.5546875" style="12"/>
    <col min="2808" max="2808" width="12.5546875" style="12" customWidth="1"/>
    <col min="2809" max="2809" width="28.5546875" style="12" customWidth="1"/>
    <col min="2810" max="2812" width="18.5546875" style="12" customWidth="1"/>
    <col min="2813" max="2813" width="16.5546875" style="12" customWidth="1"/>
    <col min="2814" max="2814" width="1.5546875" style="12" customWidth="1"/>
    <col min="2815" max="2815" width="16.5546875" style="12" customWidth="1"/>
    <col min="2816" max="2816" width="1.5546875" style="12" customWidth="1"/>
    <col min="2817" max="2817" width="16.5546875" style="12" customWidth="1"/>
    <col min="2818" max="2818" width="1.5546875" style="12" customWidth="1"/>
    <col min="2819" max="2819" width="16.5546875" style="12" customWidth="1"/>
    <col min="2820" max="2820" width="1.5546875" style="12" customWidth="1"/>
    <col min="2821" max="2821" width="16.5546875" style="12" customWidth="1"/>
    <col min="2822" max="2822" width="1.5546875" style="12" customWidth="1"/>
    <col min="2823" max="2823" width="16.5546875" style="12" customWidth="1"/>
    <col min="2824" max="2824" width="1.5546875" style="12" customWidth="1"/>
    <col min="2825" max="2825" width="16.5546875" style="12" customWidth="1"/>
    <col min="2826" max="2826" width="1.5546875" style="12" customWidth="1"/>
    <col min="2827" max="2827" width="16.5546875" style="12" customWidth="1"/>
    <col min="2828" max="2828" width="1.5546875" style="12" customWidth="1"/>
    <col min="2829" max="2830" width="16.5546875" style="12" customWidth="1"/>
    <col min="2831" max="3063" width="8.5546875" style="12"/>
    <col min="3064" max="3064" width="12.5546875" style="12" customWidth="1"/>
    <col min="3065" max="3065" width="28.5546875" style="12" customWidth="1"/>
    <col min="3066" max="3068" width="18.5546875" style="12" customWidth="1"/>
    <col min="3069" max="3069" width="16.5546875" style="12" customWidth="1"/>
    <col min="3070" max="3070" width="1.5546875" style="12" customWidth="1"/>
    <col min="3071" max="3071" width="16.5546875" style="12" customWidth="1"/>
    <col min="3072" max="3072" width="1.5546875" style="12" customWidth="1"/>
    <col min="3073" max="3073" width="16.5546875" style="12" customWidth="1"/>
    <col min="3074" max="3074" width="1.5546875" style="12" customWidth="1"/>
    <col min="3075" max="3075" width="16.5546875" style="12" customWidth="1"/>
    <col min="3076" max="3076" width="1.5546875" style="12" customWidth="1"/>
    <col min="3077" max="3077" width="16.5546875" style="12" customWidth="1"/>
    <col min="3078" max="3078" width="1.5546875" style="12" customWidth="1"/>
    <col min="3079" max="3079" width="16.5546875" style="12" customWidth="1"/>
    <col min="3080" max="3080" width="1.5546875" style="12" customWidth="1"/>
    <col min="3081" max="3081" width="16.5546875" style="12" customWidth="1"/>
    <col min="3082" max="3082" width="1.5546875" style="12" customWidth="1"/>
    <col min="3083" max="3083" width="16.5546875" style="12" customWidth="1"/>
    <col min="3084" max="3084" width="1.5546875" style="12" customWidth="1"/>
    <col min="3085" max="3086" width="16.5546875" style="12" customWidth="1"/>
    <col min="3087" max="3319" width="8.5546875" style="12"/>
    <col min="3320" max="3320" width="12.5546875" style="12" customWidth="1"/>
    <col min="3321" max="3321" width="28.5546875" style="12" customWidth="1"/>
    <col min="3322" max="3324" width="18.5546875" style="12" customWidth="1"/>
    <col min="3325" max="3325" width="16.5546875" style="12" customWidth="1"/>
    <col min="3326" max="3326" width="1.5546875" style="12" customWidth="1"/>
    <col min="3327" max="3327" width="16.5546875" style="12" customWidth="1"/>
    <col min="3328" max="3328" width="1.5546875" style="12" customWidth="1"/>
    <col min="3329" max="3329" width="16.5546875" style="12" customWidth="1"/>
    <col min="3330" max="3330" width="1.5546875" style="12" customWidth="1"/>
    <col min="3331" max="3331" width="16.5546875" style="12" customWidth="1"/>
    <col min="3332" max="3332" width="1.5546875" style="12" customWidth="1"/>
    <col min="3333" max="3333" width="16.5546875" style="12" customWidth="1"/>
    <col min="3334" max="3334" width="1.5546875" style="12" customWidth="1"/>
    <col min="3335" max="3335" width="16.5546875" style="12" customWidth="1"/>
    <col min="3336" max="3336" width="1.5546875" style="12" customWidth="1"/>
    <col min="3337" max="3337" width="16.5546875" style="12" customWidth="1"/>
    <col min="3338" max="3338" width="1.5546875" style="12" customWidth="1"/>
    <col min="3339" max="3339" width="16.5546875" style="12" customWidth="1"/>
    <col min="3340" max="3340" width="1.5546875" style="12" customWidth="1"/>
    <col min="3341" max="3342" width="16.5546875" style="12" customWidth="1"/>
    <col min="3343" max="3575" width="8.5546875" style="12"/>
    <col min="3576" max="3576" width="12.5546875" style="12" customWidth="1"/>
    <col min="3577" max="3577" width="28.5546875" style="12" customWidth="1"/>
    <col min="3578" max="3580" width="18.5546875" style="12" customWidth="1"/>
    <col min="3581" max="3581" width="16.5546875" style="12" customWidth="1"/>
    <col min="3582" max="3582" width="1.5546875" style="12" customWidth="1"/>
    <col min="3583" max="3583" width="16.5546875" style="12" customWidth="1"/>
    <col min="3584" max="3584" width="1.5546875" style="12" customWidth="1"/>
    <col min="3585" max="3585" width="16.5546875" style="12" customWidth="1"/>
    <col min="3586" max="3586" width="1.5546875" style="12" customWidth="1"/>
    <col min="3587" max="3587" width="16.5546875" style="12" customWidth="1"/>
    <col min="3588" max="3588" width="1.5546875" style="12" customWidth="1"/>
    <col min="3589" max="3589" width="16.5546875" style="12" customWidth="1"/>
    <col min="3590" max="3590" width="1.5546875" style="12" customWidth="1"/>
    <col min="3591" max="3591" width="16.5546875" style="12" customWidth="1"/>
    <col min="3592" max="3592" width="1.5546875" style="12" customWidth="1"/>
    <col min="3593" max="3593" width="16.5546875" style="12" customWidth="1"/>
    <col min="3594" max="3594" width="1.5546875" style="12" customWidth="1"/>
    <col min="3595" max="3595" width="16.5546875" style="12" customWidth="1"/>
    <col min="3596" max="3596" width="1.5546875" style="12" customWidth="1"/>
    <col min="3597" max="3598" width="16.5546875" style="12" customWidth="1"/>
    <col min="3599" max="3831" width="8.5546875" style="12"/>
    <col min="3832" max="3832" width="12.5546875" style="12" customWidth="1"/>
    <col min="3833" max="3833" width="28.5546875" style="12" customWidth="1"/>
    <col min="3834" max="3836" width="18.5546875" style="12" customWidth="1"/>
    <col min="3837" max="3837" width="16.5546875" style="12" customWidth="1"/>
    <col min="3838" max="3838" width="1.5546875" style="12" customWidth="1"/>
    <col min="3839" max="3839" width="16.5546875" style="12" customWidth="1"/>
    <col min="3840" max="3840" width="1.5546875" style="12" customWidth="1"/>
    <col min="3841" max="3841" width="16.5546875" style="12" customWidth="1"/>
    <col min="3842" max="3842" width="1.5546875" style="12" customWidth="1"/>
    <col min="3843" max="3843" width="16.5546875" style="12" customWidth="1"/>
    <col min="3844" max="3844" width="1.5546875" style="12" customWidth="1"/>
    <col min="3845" max="3845" width="16.5546875" style="12" customWidth="1"/>
    <col min="3846" max="3846" width="1.5546875" style="12" customWidth="1"/>
    <col min="3847" max="3847" width="16.5546875" style="12" customWidth="1"/>
    <col min="3848" max="3848" width="1.5546875" style="12" customWidth="1"/>
    <col min="3849" max="3849" width="16.5546875" style="12" customWidth="1"/>
    <col min="3850" max="3850" width="1.5546875" style="12" customWidth="1"/>
    <col min="3851" max="3851" width="16.5546875" style="12" customWidth="1"/>
    <col min="3852" max="3852" width="1.5546875" style="12" customWidth="1"/>
    <col min="3853" max="3854" width="16.5546875" style="12" customWidth="1"/>
    <col min="3855" max="4087" width="8.5546875" style="12"/>
    <col min="4088" max="4088" width="12.5546875" style="12" customWidth="1"/>
    <col min="4089" max="4089" width="28.5546875" style="12" customWidth="1"/>
    <col min="4090" max="4092" width="18.5546875" style="12" customWidth="1"/>
    <col min="4093" max="4093" width="16.5546875" style="12" customWidth="1"/>
    <col min="4094" max="4094" width="1.5546875" style="12" customWidth="1"/>
    <col min="4095" max="4095" width="16.5546875" style="12" customWidth="1"/>
    <col min="4096" max="4096" width="1.5546875" style="12" customWidth="1"/>
    <col min="4097" max="4097" width="16.5546875" style="12" customWidth="1"/>
    <col min="4098" max="4098" width="1.5546875" style="12" customWidth="1"/>
    <col min="4099" max="4099" width="16.5546875" style="12" customWidth="1"/>
    <col min="4100" max="4100" width="1.5546875" style="12" customWidth="1"/>
    <col min="4101" max="4101" width="16.5546875" style="12" customWidth="1"/>
    <col min="4102" max="4102" width="1.5546875" style="12" customWidth="1"/>
    <col min="4103" max="4103" width="16.5546875" style="12" customWidth="1"/>
    <col min="4104" max="4104" width="1.5546875" style="12" customWidth="1"/>
    <col min="4105" max="4105" width="16.5546875" style="12" customWidth="1"/>
    <col min="4106" max="4106" width="1.5546875" style="12" customWidth="1"/>
    <col min="4107" max="4107" width="16.5546875" style="12" customWidth="1"/>
    <col min="4108" max="4108" width="1.5546875" style="12" customWidth="1"/>
    <col min="4109" max="4110" width="16.5546875" style="12" customWidth="1"/>
    <col min="4111" max="4343" width="8.5546875" style="12"/>
    <col min="4344" max="4344" width="12.5546875" style="12" customWidth="1"/>
    <col min="4345" max="4345" width="28.5546875" style="12" customWidth="1"/>
    <col min="4346" max="4348" width="18.5546875" style="12" customWidth="1"/>
    <col min="4349" max="4349" width="16.5546875" style="12" customWidth="1"/>
    <col min="4350" max="4350" width="1.5546875" style="12" customWidth="1"/>
    <col min="4351" max="4351" width="16.5546875" style="12" customWidth="1"/>
    <col min="4352" max="4352" width="1.5546875" style="12" customWidth="1"/>
    <col min="4353" max="4353" width="16.5546875" style="12" customWidth="1"/>
    <col min="4354" max="4354" width="1.5546875" style="12" customWidth="1"/>
    <col min="4355" max="4355" width="16.5546875" style="12" customWidth="1"/>
    <col min="4356" max="4356" width="1.5546875" style="12" customWidth="1"/>
    <col min="4357" max="4357" width="16.5546875" style="12" customWidth="1"/>
    <col min="4358" max="4358" width="1.5546875" style="12" customWidth="1"/>
    <col min="4359" max="4359" width="16.5546875" style="12" customWidth="1"/>
    <col min="4360" max="4360" width="1.5546875" style="12" customWidth="1"/>
    <col min="4361" max="4361" width="16.5546875" style="12" customWidth="1"/>
    <col min="4362" max="4362" width="1.5546875" style="12" customWidth="1"/>
    <col min="4363" max="4363" width="16.5546875" style="12" customWidth="1"/>
    <col min="4364" max="4364" width="1.5546875" style="12" customWidth="1"/>
    <col min="4365" max="4366" width="16.5546875" style="12" customWidth="1"/>
    <col min="4367" max="4599" width="8.5546875" style="12"/>
    <col min="4600" max="4600" width="12.5546875" style="12" customWidth="1"/>
    <col min="4601" max="4601" width="28.5546875" style="12" customWidth="1"/>
    <col min="4602" max="4604" width="18.5546875" style="12" customWidth="1"/>
    <col min="4605" max="4605" width="16.5546875" style="12" customWidth="1"/>
    <col min="4606" max="4606" width="1.5546875" style="12" customWidth="1"/>
    <col min="4607" max="4607" width="16.5546875" style="12" customWidth="1"/>
    <col min="4608" max="4608" width="1.5546875" style="12" customWidth="1"/>
    <col min="4609" max="4609" width="16.5546875" style="12" customWidth="1"/>
    <col min="4610" max="4610" width="1.5546875" style="12" customWidth="1"/>
    <col min="4611" max="4611" width="16.5546875" style="12" customWidth="1"/>
    <col min="4612" max="4612" width="1.5546875" style="12" customWidth="1"/>
    <col min="4613" max="4613" width="16.5546875" style="12" customWidth="1"/>
    <col min="4614" max="4614" width="1.5546875" style="12" customWidth="1"/>
    <col min="4615" max="4615" width="16.5546875" style="12" customWidth="1"/>
    <col min="4616" max="4616" width="1.5546875" style="12" customWidth="1"/>
    <col min="4617" max="4617" width="16.5546875" style="12" customWidth="1"/>
    <col min="4618" max="4618" width="1.5546875" style="12" customWidth="1"/>
    <col min="4619" max="4619" width="16.5546875" style="12" customWidth="1"/>
    <col min="4620" max="4620" width="1.5546875" style="12" customWidth="1"/>
    <col min="4621" max="4622" width="16.5546875" style="12" customWidth="1"/>
    <col min="4623" max="4855" width="8.5546875" style="12"/>
    <col min="4856" max="4856" width="12.5546875" style="12" customWidth="1"/>
    <col min="4857" max="4857" width="28.5546875" style="12" customWidth="1"/>
    <col min="4858" max="4860" width="18.5546875" style="12" customWidth="1"/>
    <col min="4861" max="4861" width="16.5546875" style="12" customWidth="1"/>
    <col min="4862" max="4862" width="1.5546875" style="12" customWidth="1"/>
    <col min="4863" max="4863" width="16.5546875" style="12" customWidth="1"/>
    <col min="4864" max="4864" width="1.5546875" style="12" customWidth="1"/>
    <col min="4865" max="4865" width="16.5546875" style="12" customWidth="1"/>
    <col min="4866" max="4866" width="1.5546875" style="12" customWidth="1"/>
    <col min="4867" max="4867" width="16.5546875" style="12" customWidth="1"/>
    <col min="4868" max="4868" width="1.5546875" style="12" customWidth="1"/>
    <col min="4869" max="4869" width="16.5546875" style="12" customWidth="1"/>
    <col min="4870" max="4870" width="1.5546875" style="12" customWidth="1"/>
    <col min="4871" max="4871" width="16.5546875" style="12" customWidth="1"/>
    <col min="4872" max="4872" width="1.5546875" style="12" customWidth="1"/>
    <col min="4873" max="4873" width="16.5546875" style="12" customWidth="1"/>
    <col min="4874" max="4874" width="1.5546875" style="12" customWidth="1"/>
    <col min="4875" max="4875" width="16.5546875" style="12" customWidth="1"/>
    <col min="4876" max="4876" width="1.5546875" style="12" customWidth="1"/>
    <col min="4877" max="4878" width="16.5546875" style="12" customWidth="1"/>
    <col min="4879" max="5111" width="8.5546875" style="12"/>
    <col min="5112" max="5112" width="12.5546875" style="12" customWidth="1"/>
    <col min="5113" max="5113" width="28.5546875" style="12" customWidth="1"/>
    <col min="5114" max="5116" width="18.5546875" style="12" customWidth="1"/>
    <col min="5117" max="5117" width="16.5546875" style="12" customWidth="1"/>
    <col min="5118" max="5118" width="1.5546875" style="12" customWidth="1"/>
    <col min="5119" max="5119" width="16.5546875" style="12" customWidth="1"/>
    <col min="5120" max="5120" width="1.5546875" style="12" customWidth="1"/>
    <col min="5121" max="5121" width="16.5546875" style="12" customWidth="1"/>
    <col min="5122" max="5122" width="1.5546875" style="12" customWidth="1"/>
    <col min="5123" max="5123" width="16.5546875" style="12" customWidth="1"/>
    <col min="5124" max="5124" width="1.5546875" style="12" customWidth="1"/>
    <col min="5125" max="5125" width="16.5546875" style="12" customWidth="1"/>
    <col min="5126" max="5126" width="1.5546875" style="12" customWidth="1"/>
    <col min="5127" max="5127" width="16.5546875" style="12" customWidth="1"/>
    <col min="5128" max="5128" width="1.5546875" style="12" customWidth="1"/>
    <col min="5129" max="5129" width="16.5546875" style="12" customWidth="1"/>
    <col min="5130" max="5130" width="1.5546875" style="12" customWidth="1"/>
    <col min="5131" max="5131" width="16.5546875" style="12" customWidth="1"/>
    <col min="5132" max="5132" width="1.5546875" style="12" customWidth="1"/>
    <col min="5133" max="5134" width="16.5546875" style="12" customWidth="1"/>
    <col min="5135" max="5367" width="8.5546875" style="12"/>
    <col min="5368" max="5368" width="12.5546875" style="12" customWidth="1"/>
    <col min="5369" max="5369" width="28.5546875" style="12" customWidth="1"/>
    <col min="5370" max="5372" width="18.5546875" style="12" customWidth="1"/>
    <col min="5373" max="5373" width="16.5546875" style="12" customWidth="1"/>
    <col min="5374" max="5374" width="1.5546875" style="12" customWidth="1"/>
    <col min="5375" max="5375" width="16.5546875" style="12" customWidth="1"/>
    <col min="5376" max="5376" width="1.5546875" style="12" customWidth="1"/>
    <col min="5377" max="5377" width="16.5546875" style="12" customWidth="1"/>
    <col min="5378" max="5378" width="1.5546875" style="12" customWidth="1"/>
    <col min="5379" max="5379" width="16.5546875" style="12" customWidth="1"/>
    <col min="5380" max="5380" width="1.5546875" style="12" customWidth="1"/>
    <col min="5381" max="5381" width="16.5546875" style="12" customWidth="1"/>
    <col min="5382" max="5382" width="1.5546875" style="12" customWidth="1"/>
    <col min="5383" max="5383" width="16.5546875" style="12" customWidth="1"/>
    <col min="5384" max="5384" width="1.5546875" style="12" customWidth="1"/>
    <col min="5385" max="5385" width="16.5546875" style="12" customWidth="1"/>
    <col min="5386" max="5386" width="1.5546875" style="12" customWidth="1"/>
    <col min="5387" max="5387" width="16.5546875" style="12" customWidth="1"/>
    <col min="5388" max="5388" width="1.5546875" style="12" customWidth="1"/>
    <col min="5389" max="5390" width="16.5546875" style="12" customWidth="1"/>
    <col min="5391" max="5623" width="8.5546875" style="12"/>
    <col min="5624" max="5624" width="12.5546875" style="12" customWidth="1"/>
    <col min="5625" max="5625" width="28.5546875" style="12" customWidth="1"/>
    <col min="5626" max="5628" width="18.5546875" style="12" customWidth="1"/>
    <col min="5629" max="5629" width="16.5546875" style="12" customWidth="1"/>
    <col min="5630" max="5630" width="1.5546875" style="12" customWidth="1"/>
    <col min="5631" max="5631" width="16.5546875" style="12" customWidth="1"/>
    <col min="5632" max="5632" width="1.5546875" style="12" customWidth="1"/>
    <col min="5633" max="5633" width="16.5546875" style="12" customWidth="1"/>
    <col min="5634" max="5634" width="1.5546875" style="12" customWidth="1"/>
    <col min="5635" max="5635" width="16.5546875" style="12" customWidth="1"/>
    <col min="5636" max="5636" width="1.5546875" style="12" customWidth="1"/>
    <col min="5637" max="5637" width="16.5546875" style="12" customWidth="1"/>
    <col min="5638" max="5638" width="1.5546875" style="12" customWidth="1"/>
    <col min="5639" max="5639" width="16.5546875" style="12" customWidth="1"/>
    <col min="5640" max="5640" width="1.5546875" style="12" customWidth="1"/>
    <col min="5641" max="5641" width="16.5546875" style="12" customWidth="1"/>
    <col min="5642" max="5642" width="1.5546875" style="12" customWidth="1"/>
    <col min="5643" max="5643" width="16.5546875" style="12" customWidth="1"/>
    <col min="5644" max="5644" width="1.5546875" style="12" customWidth="1"/>
    <col min="5645" max="5646" width="16.5546875" style="12" customWidth="1"/>
    <col min="5647" max="5879" width="8.5546875" style="12"/>
    <col min="5880" max="5880" width="12.5546875" style="12" customWidth="1"/>
    <col min="5881" max="5881" width="28.5546875" style="12" customWidth="1"/>
    <col min="5882" max="5884" width="18.5546875" style="12" customWidth="1"/>
    <col min="5885" max="5885" width="16.5546875" style="12" customWidth="1"/>
    <col min="5886" max="5886" width="1.5546875" style="12" customWidth="1"/>
    <col min="5887" max="5887" width="16.5546875" style="12" customWidth="1"/>
    <col min="5888" max="5888" width="1.5546875" style="12" customWidth="1"/>
    <col min="5889" max="5889" width="16.5546875" style="12" customWidth="1"/>
    <col min="5890" max="5890" width="1.5546875" style="12" customWidth="1"/>
    <col min="5891" max="5891" width="16.5546875" style="12" customWidth="1"/>
    <col min="5892" max="5892" width="1.5546875" style="12" customWidth="1"/>
    <col min="5893" max="5893" width="16.5546875" style="12" customWidth="1"/>
    <col min="5894" max="5894" width="1.5546875" style="12" customWidth="1"/>
    <col min="5895" max="5895" width="16.5546875" style="12" customWidth="1"/>
    <col min="5896" max="5896" width="1.5546875" style="12" customWidth="1"/>
    <col min="5897" max="5897" width="16.5546875" style="12" customWidth="1"/>
    <col min="5898" max="5898" width="1.5546875" style="12" customWidth="1"/>
    <col min="5899" max="5899" width="16.5546875" style="12" customWidth="1"/>
    <col min="5900" max="5900" width="1.5546875" style="12" customWidth="1"/>
    <col min="5901" max="5902" width="16.5546875" style="12" customWidth="1"/>
    <col min="5903" max="6135" width="8.5546875" style="12"/>
    <col min="6136" max="6136" width="12.5546875" style="12" customWidth="1"/>
    <col min="6137" max="6137" width="28.5546875" style="12" customWidth="1"/>
    <col min="6138" max="6140" width="18.5546875" style="12" customWidth="1"/>
    <col min="6141" max="6141" width="16.5546875" style="12" customWidth="1"/>
    <col min="6142" max="6142" width="1.5546875" style="12" customWidth="1"/>
    <col min="6143" max="6143" width="16.5546875" style="12" customWidth="1"/>
    <col min="6144" max="6144" width="1.5546875" style="12" customWidth="1"/>
    <col min="6145" max="6145" width="16.5546875" style="12" customWidth="1"/>
    <col min="6146" max="6146" width="1.5546875" style="12" customWidth="1"/>
    <col min="6147" max="6147" width="16.5546875" style="12" customWidth="1"/>
    <col min="6148" max="6148" width="1.5546875" style="12" customWidth="1"/>
    <col min="6149" max="6149" width="16.5546875" style="12" customWidth="1"/>
    <col min="6150" max="6150" width="1.5546875" style="12" customWidth="1"/>
    <col min="6151" max="6151" width="16.5546875" style="12" customWidth="1"/>
    <col min="6152" max="6152" width="1.5546875" style="12" customWidth="1"/>
    <col min="6153" max="6153" width="16.5546875" style="12" customWidth="1"/>
    <col min="6154" max="6154" width="1.5546875" style="12" customWidth="1"/>
    <col min="6155" max="6155" width="16.5546875" style="12" customWidth="1"/>
    <col min="6156" max="6156" width="1.5546875" style="12" customWidth="1"/>
    <col min="6157" max="6158" width="16.5546875" style="12" customWidth="1"/>
    <col min="6159" max="6391" width="8.5546875" style="12"/>
    <col min="6392" max="6392" width="12.5546875" style="12" customWidth="1"/>
    <col min="6393" max="6393" width="28.5546875" style="12" customWidth="1"/>
    <col min="6394" max="6396" width="18.5546875" style="12" customWidth="1"/>
    <col min="6397" max="6397" width="16.5546875" style="12" customWidth="1"/>
    <col min="6398" max="6398" width="1.5546875" style="12" customWidth="1"/>
    <col min="6399" max="6399" width="16.5546875" style="12" customWidth="1"/>
    <col min="6400" max="6400" width="1.5546875" style="12" customWidth="1"/>
    <col min="6401" max="6401" width="16.5546875" style="12" customWidth="1"/>
    <col min="6402" max="6402" width="1.5546875" style="12" customWidth="1"/>
    <col min="6403" max="6403" width="16.5546875" style="12" customWidth="1"/>
    <col min="6404" max="6404" width="1.5546875" style="12" customWidth="1"/>
    <col min="6405" max="6405" width="16.5546875" style="12" customWidth="1"/>
    <col min="6406" max="6406" width="1.5546875" style="12" customWidth="1"/>
    <col min="6407" max="6407" width="16.5546875" style="12" customWidth="1"/>
    <col min="6408" max="6408" width="1.5546875" style="12" customWidth="1"/>
    <col min="6409" max="6409" width="16.5546875" style="12" customWidth="1"/>
    <col min="6410" max="6410" width="1.5546875" style="12" customWidth="1"/>
    <col min="6411" max="6411" width="16.5546875" style="12" customWidth="1"/>
    <col min="6412" max="6412" width="1.5546875" style="12" customWidth="1"/>
    <col min="6413" max="6414" width="16.5546875" style="12" customWidth="1"/>
    <col min="6415" max="6647" width="8.5546875" style="12"/>
    <col min="6648" max="6648" width="12.5546875" style="12" customWidth="1"/>
    <col min="6649" max="6649" width="28.5546875" style="12" customWidth="1"/>
    <col min="6650" max="6652" width="18.5546875" style="12" customWidth="1"/>
    <col min="6653" max="6653" width="16.5546875" style="12" customWidth="1"/>
    <col min="6654" max="6654" width="1.5546875" style="12" customWidth="1"/>
    <col min="6655" max="6655" width="16.5546875" style="12" customWidth="1"/>
    <col min="6656" max="6656" width="1.5546875" style="12" customWidth="1"/>
    <col min="6657" max="6657" width="16.5546875" style="12" customWidth="1"/>
    <col min="6658" max="6658" width="1.5546875" style="12" customWidth="1"/>
    <col min="6659" max="6659" width="16.5546875" style="12" customWidth="1"/>
    <col min="6660" max="6660" width="1.5546875" style="12" customWidth="1"/>
    <col min="6661" max="6661" width="16.5546875" style="12" customWidth="1"/>
    <col min="6662" max="6662" width="1.5546875" style="12" customWidth="1"/>
    <col min="6663" max="6663" width="16.5546875" style="12" customWidth="1"/>
    <col min="6664" max="6664" width="1.5546875" style="12" customWidth="1"/>
    <col min="6665" max="6665" width="16.5546875" style="12" customWidth="1"/>
    <col min="6666" max="6666" width="1.5546875" style="12" customWidth="1"/>
    <col min="6667" max="6667" width="16.5546875" style="12" customWidth="1"/>
    <col min="6668" max="6668" width="1.5546875" style="12" customWidth="1"/>
    <col min="6669" max="6670" width="16.5546875" style="12" customWidth="1"/>
    <col min="6671" max="6903" width="8.5546875" style="12"/>
    <col min="6904" max="6904" width="12.5546875" style="12" customWidth="1"/>
    <col min="6905" max="6905" width="28.5546875" style="12" customWidth="1"/>
    <col min="6906" max="6908" width="18.5546875" style="12" customWidth="1"/>
    <col min="6909" max="6909" width="16.5546875" style="12" customWidth="1"/>
    <col min="6910" max="6910" width="1.5546875" style="12" customWidth="1"/>
    <col min="6911" max="6911" width="16.5546875" style="12" customWidth="1"/>
    <col min="6912" max="6912" width="1.5546875" style="12" customWidth="1"/>
    <col min="6913" max="6913" width="16.5546875" style="12" customWidth="1"/>
    <col min="6914" max="6914" width="1.5546875" style="12" customWidth="1"/>
    <col min="6915" max="6915" width="16.5546875" style="12" customWidth="1"/>
    <col min="6916" max="6916" width="1.5546875" style="12" customWidth="1"/>
    <col min="6917" max="6917" width="16.5546875" style="12" customWidth="1"/>
    <col min="6918" max="6918" width="1.5546875" style="12" customWidth="1"/>
    <col min="6919" max="6919" width="16.5546875" style="12" customWidth="1"/>
    <col min="6920" max="6920" width="1.5546875" style="12" customWidth="1"/>
    <col min="6921" max="6921" width="16.5546875" style="12" customWidth="1"/>
    <col min="6922" max="6922" width="1.5546875" style="12" customWidth="1"/>
    <col min="6923" max="6923" width="16.5546875" style="12" customWidth="1"/>
    <col min="6924" max="6924" width="1.5546875" style="12" customWidth="1"/>
    <col min="6925" max="6926" width="16.5546875" style="12" customWidth="1"/>
    <col min="6927" max="7159" width="8.5546875" style="12"/>
    <col min="7160" max="7160" width="12.5546875" style="12" customWidth="1"/>
    <col min="7161" max="7161" width="28.5546875" style="12" customWidth="1"/>
    <col min="7162" max="7164" width="18.5546875" style="12" customWidth="1"/>
    <col min="7165" max="7165" width="16.5546875" style="12" customWidth="1"/>
    <col min="7166" max="7166" width="1.5546875" style="12" customWidth="1"/>
    <col min="7167" max="7167" width="16.5546875" style="12" customWidth="1"/>
    <col min="7168" max="7168" width="1.5546875" style="12" customWidth="1"/>
    <col min="7169" max="7169" width="16.5546875" style="12" customWidth="1"/>
    <col min="7170" max="7170" width="1.5546875" style="12" customWidth="1"/>
    <col min="7171" max="7171" width="16.5546875" style="12" customWidth="1"/>
    <col min="7172" max="7172" width="1.5546875" style="12" customWidth="1"/>
    <col min="7173" max="7173" width="16.5546875" style="12" customWidth="1"/>
    <col min="7174" max="7174" width="1.5546875" style="12" customWidth="1"/>
    <col min="7175" max="7175" width="16.5546875" style="12" customWidth="1"/>
    <col min="7176" max="7176" width="1.5546875" style="12" customWidth="1"/>
    <col min="7177" max="7177" width="16.5546875" style="12" customWidth="1"/>
    <col min="7178" max="7178" width="1.5546875" style="12" customWidth="1"/>
    <col min="7179" max="7179" width="16.5546875" style="12" customWidth="1"/>
    <col min="7180" max="7180" width="1.5546875" style="12" customWidth="1"/>
    <col min="7181" max="7182" width="16.5546875" style="12" customWidth="1"/>
    <col min="7183" max="7415" width="8.5546875" style="12"/>
    <col min="7416" max="7416" width="12.5546875" style="12" customWidth="1"/>
    <col min="7417" max="7417" width="28.5546875" style="12" customWidth="1"/>
    <col min="7418" max="7420" width="18.5546875" style="12" customWidth="1"/>
    <col min="7421" max="7421" width="16.5546875" style="12" customWidth="1"/>
    <col min="7422" max="7422" width="1.5546875" style="12" customWidth="1"/>
    <col min="7423" max="7423" width="16.5546875" style="12" customWidth="1"/>
    <col min="7424" max="7424" width="1.5546875" style="12" customWidth="1"/>
    <col min="7425" max="7425" width="16.5546875" style="12" customWidth="1"/>
    <col min="7426" max="7426" width="1.5546875" style="12" customWidth="1"/>
    <col min="7427" max="7427" width="16.5546875" style="12" customWidth="1"/>
    <col min="7428" max="7428" width="1.5546875" style="12" customWidth="1"/>
    <col min="7429" max="7429" width="16.5546875" style="12" customWidth="1"/>
    <col min="7430" max="7430" width="1.5546875" style="12" customWidth="1"/>
    <col min="7431" max="7431" width="16.5546875" style="12" customWidth="1"/>
    <col min="7432" max="7432" width="1.5546875" style="12" customWidth="1"/>
    <col min="7433" max="7433" width="16.5546875" style="12" customWidth="1"/>
    <col min="7434" max="7434" width="1.5546875" style="12" customWidth="1"/>
    <col min="7435" max="7435" width="16.5546875" style="12" customWidth="1"/>
    <col min="7436" max="7436" width="1.5546875" style="12" customWidth="1"/>
    <col min="7437" max="7438" width="16.5546875" style="12" customWidth="1"/>
    <col min="7439" max="7671" width="8.5546875" style="12"/>
    <col min="7672" max="7672" width="12.5546875" style="12" customWidth="1"/>
    <col min="7673" max="7673" width="28.5546875" style="12" customWidth="1"/>
    <col min="7674" max="7676" width="18.5546875" style="12" customWidth="1"/>
    <col min="7677" max="7677" width="16.5546875" style="12" customWidth="1"/>
    <col min="7678" max="7678" width="1.5546875" style="12" customWidth="1"/>
    <col min="7679" max="7679" width="16.5546875" style="12" customWidth="1"/>
    <col min="7680" max="7680" width="1.5546875" style="12" customWidth="1"/>
    <col min="7681" max="7681" width="16.5546875" style="12" customWidth="1"/>
    <col min="7682" max="7682" width="1.5546875" style="12" customWidth="1"/>
    <col min="7683" max="7683" width="16.5546875" style="12" customWidth="1"/>
    <col min="7684" max="7684" width="1.5546875" style="12" customWidth="1"/>
    <col min="7685" max="7685" width="16.5546875" style="12" customWidth="1"/>
    <col min="7686" max="7686" width="1.5546875" style="12" customWidth="1"/>
    <col min="7687" max="7687" width="16.5546875" style="12" customWidth="1"/>
    <col min="7688" max="7688" width="1.5546875" style="12" customWidth="1"/>
    <col min="7689" max="7689" width="16.5546875" style="12" customWidth="1"/>
    <col min="7690" max="7690" width="1.5546875" style="12" customWidth="1"/>
    <col min="7691" max="7691" width="16.5546875" style="12" customWidth="1"/>
    <col min="7692" max="7692" width="1.5546875" style="12" customWidth="1"/>
    <col min="7693" max="7694" width="16.5546875" style="12" customWidth="1"/>
    <col min="7695" max="7927" width="8.5546875" style="12"/>
    <col min="7928" max="7928" width="12.5546875" style="12" customWidth="1"/>
    <col min="7929" max="7929" width="28.5546875" style="12" customWidth="1"/>
    <col min="7930" max="7932" width="18.5546875" style="12" customWidth="1"/>
    <col min="7933" max="7933" width="16.5546875" style="12" customWidth="1"/>
    <col min="7934" max="7934" width="1.5546875" style="12" customWidth="1"/>
    <col min="7935" max="7935" width="16.5546875" style="12" customWidth="1"/>
    <col min="7936" max="7936" width="1.5546875" style="12" customWidth="1"/>
    <col min="7937" max="7937" width="16.5546875" style="12" customWidth="1"/>
    <col min="7938" max="7938" width="1.5546875" style="12" customWidth="1"/>
    <col min="7939" max="7939" width="16.5546875" style="12" customWidth="1"/>
    <col min="7940" max="7940" width="1.5546875" style="12" customWidth="1"/>
    <col min="7941" max="7941" width="16.5546875" style="12" customWidth="1"/>
    <col min="7942" max="7942" width="1.5546875" style="12" customWidth="1"/>
    <col min="7943" max="7943" width="16.5546875" style="12" customWidth="1"/>
    <col min="7944" max="7944" width="1.5546875" style="12" customWidth="1"/>
    <col min="7945" max="7945" width="16.5546875" style="12" customWidth="1"/>
    <col min="7946" max="7946" width="1.5546875" style="12" customWidth="1"/>
    <col min="7947" max="7947" width="16.5546875" style="12" customWidth="1"/>
    <col min="7948" max="7948" width="1.5546875" style="12" customWidth="1"/>
    <col min="7949" max="7950" width="16.5546875" style="12" customWidth="1"/>
    <col min="7951" max="8183" width="8.5546875" style="12"/>
    <col min="8184" max="8184" width="12.5546875" style="12" customWidth="1"/>
    <col min="8185" max="8185" width="28.5546875" style="12" customWidth="1"/>
    <col min="8186" max="8188" width="18.5546875" style="12" customWidth="1"/>
    <col min="8189" max="8189" width="16.5546875" style="12" customWidth="1"/>
    <col min="8190" max="8190" width="1.5546875" style="12" customWidth="1"/>
    <col min="8191" max="8191" width="16.5546875" style="12" customWidth="1"/>
    <col min="8192" max="8192" width="1.5546875" style="12" customWidth="1"/>
    <col min="8193" max="8193" width="16.5546875" style="12" customWidth="1"/>
    <col min="8194" max="8194" width="1.5546875" style="12" customWidth="1"/>
    <col min="8195" max="8195" width="16.5546875" style="12" customWidth="1"/>
    <col min="8196" max="8196" width="1.5546875" style="12" customWidth="1"/>
    <col min="8197" max="8197" width="16.5546875" style="12" customWidth="1"/>
    <col min="8198" max="8198" width="1.5546875" style="12" customWidth="1"/>
    <col min="8199" max="8199" width="16.5546875" style="12" customWidth="1"/>
    <col min="8200" max="8200" width="1.5546875" style="12" customWidth="1"/>
    <col min="8201" max="8201" width="16.5546875" style="12" customWidth="1"/>
    <col min="8202" max="8202" width="1.5546875" style="12" customWidth="1"/>
    <col min="8203" max="8203" width="16.5546875" style="12" customWidth="1"/>
    <col min="8204" max="8204" width="1.5546875" style="12" customWidth="1"/>
    <col min="8205" max="8206" width="16.5546875" style="12" customWidth="1"/>
    <col min="8207" max="8439" width="8.5546875" style="12"/>
    <col min="8440" max="8440" width="12.5546875" style="12" customWidth="1"/>
    <col min="8441" max="8441" width="28.5546875" style="12" customWidth="1"/>
    <col min="8442" max="8444" width="18.5546875" style="12" customWidth="1"/>
    <col min="8445" max="8445" width="16.5546875" style="12" customWidth="1"/>
    <col min="8446" max="8446" width="1.5546875" style="12" customWidth="1"/>
    <col min="8447" max="8447" width="16.5546875" style="12" customWidth="1"/>
    <col min="8448" max="8448" width="1.5546875" style="12" customWidth="1"/>
    <col min="8449" max="8449" width="16.5546875" style="12" customWidth="1"/>
    <col min="8450" max="8450" width="1.5546875" style="12" customWidth="1"/>
    <col min="8451" max="8451" width="16.5546875" style="12" customWidth="1"/>
    <col min="8452" max="8452" width="1.5546875" style="12" customWidth="1"/>
    <col min="8453" max="8453" width="16.5546875" style="12" customWidth="1"/>
    <col min="8454" max="8454" width="1.5546875" style="12" customWidth="1"/>
    <col min="8455" max="8455" width="16.5546875" style="12" customWidth="1"/>
    <col min="8456" max="8456" width="1.5546875" style="12" customWidth="1"/>
    <col min="8457" max="8457" width="16.5546875" style="12" customWidth="1"/>
    <col min="8458" max="8458" width="1.5546875" style="12" customWidth="1"/>
    <col min="8459" max="8459" width="16.5546875" style="12" customWidth="1"/>
    <col min="8460" max="8460" width="1.5546875" style="12" customWidth="1"/>
    <col min="8461" max="8462" width="16.5546875" style="12" customWidth="1"/>
    <col min="8463" max="8695" width="8.5546875" style="12"/>
    <col min="8696" max="8696" width="12.5546875" style="12" customWidth="1"/>
    <col min="8697" max="8697" width="28.5546875" style="12" customWidth="1"/>
    <col min="8698" max="8700" width="18.5546875" style="12" customWidth="1"/>
    <col min="8701" max="8701" width="16.5546875" style="12" customWidth="1"/>
    <col min="8702" max="8702" width="1.5546875" style="12" customWidth="1"/>
    <col min="8703" max="8703" width="16.5546875" style="12" customWidth="1"/>
    <col min="8704" max="8704" width="1.5546875" style="12" customWidth="1"/>
    <col min="8705" max="8705" width="16.5546875" style="12" customWidth="1"/>
    <col min="8706" max="8706" width="1.5546875" style="12" customWidth="1"/>
    <col min="8707" max="8707" width="16.5546875" style="12" customWidth="1"/>
    <col min="8708" max="8708" width="1.5546875" style="12" customWidth="1"/>
    <col min="8709" max="8709" width="16.5546875" style="12" customWidth="1"/>
    <col min="8710" max="8710" width="1.5546875" style="12" customWidth="1"/>
    <col min="8711" max="8711" width="16.5546875" style="12" customWidth="1"/>
    <col min="8712" max="8712" width="1.5546875" style="12" customWidth="1"/>
    <col min="8713" max="8713" width="16.5546875" style="12" customWidth="1"/>
    <col min="8714" max="8714" width="1.5546875" style="12" customWidth="1"/>
    <col min="8715" max="8715" width="16.5546875" style="12" customWidth="1"/>
    <col min="8716" max="8716" width="1.5546875" style="12" customWidth="1"/>
    <col min="8717" max="8718" width="16.5546875" style="12" customWidth="1"/>
    <col min="8719" max="8951" width="8.5546875" style="12"/>
    <col min="8952" max="8952" width="12.5546875" style="12" customWidth="1"/>
    <col min="8953" max="8953" width="28.5546875" style="12" customWidth="1"/>
    <col min="8954" max="8956" width="18.5546875" style="12" customWidth="1"/>
    <col min="8957" max="8957" width="16.5546875" style="12" customWidth="1"/>
    <col min="8958" max="8958" width="1.5546875" style="12" customWidth="1"/>
    <col min="8959" max="8959" width="16.5546875" style="12" customWidth="1"/>
    <col min="8960" max="8960" width="1.5546875" style="12" customWidth="1"/>
    <col min="8961" max="8961" width="16.5546875" style="12" customWidth="1"/>
    <col min="8962" max="8962" width="1.5546875" style="12" customWidth="1"/>
    <col min="8963" max="8963" width="16.5546875" style="12" customWidth="1"/>
    <col min="8964" max="8964" width="1.5546875" style="12" customWidth="1"/>
    <col min="8965" max="8965" width="16.5546875" style="12" customWidth="1"/>
    <col min="8966" max="8966" width="1.5546875" style="12" customWidth="1"/>
    <col min="8967" max="8967" width="16.5546875" style="12" customWidth="1"/>
    <col min="8968" max="8968" width="1.5546875" style="12" customWidth="1"/>
    <col min="8969" max="8969" width="16.5546875" style="12" customWidth="1"/>
    <col min="8970" max="8970" width="1.5546875" style="12" customWidth="1"/>
    <col min="8971" max="8971" width="16.5546875" style="12" customWidth="1"/>
    <col min="8972" max="8972" width="1.5546875" style="12" customWidth="1"/>
    <col min="8973" max="8974" width="16.5546875" style="12" customWidth="1"/>
    <col min="8975" max="9207" width="8.5546875" style="12"/>
    <col min="9208" max="9208" width="12.5546875" style="12" customWidth="1"/>
    <col min="9209" max="9209" width="28.5546875" style="12" customWidth="1"/>
    <col min="9210" max="9212" width="18.5546875" style="12" customWidth="1"/>
    <col min="9213" max="9213" width="16.5546875" style="12" customWidth="1"/>
    <col min="9214" max="9214" width="1.5546875" style="12" customWidth="1"/>
    <col min="9215" max="9215" width="16.5546875" style="12" customWidth="1"/>
    <col min="9216" max="9216" width="1.5546875" style="12" customWidth="1"/>
    <col min="9217" max="9217" width="16.5546875" style="12" customWidth="1"/>
    <col min="9218" max="9218" width="1.5546875" style="12" customWidth="1"/>
    <col min="9219" max="9219" width="16.5546875" style="12" customWidth="1"/>
    <col min="9220" max="9220" width="1.5546875" style="12" customWidth="1"/>
    <col min="9221" max="9221" width="16.5546875" style="12" customWidth="1"/>
    <col min="9222" max="9222" width="1.5546875" style="12" customWidth="1"/>
    <col min="9223" max="9223" width="16.5546875" style="12" customWidth="1"/>
    <col min="9224" max="9224" width="1.5546875" style="12" customWidth="1"/>
    <col min="9225" max="9225" width="16.5546875" style="12" customWidth="1"/>
    <col min="9226" max="9226" width="1.5546875" style="12" customWidth="1"/>
    <col min="9227" max="9227" width="16.5546875" style="12" customWidth="1"/>
    <col min="9228" max="9228" width="1.5546875" style="12" customWidth="1"/>
    <col min="9229" max="9230" width="16.5546875" style="12" customWidth="1"/>
    <col min="9231" max="9463" width="8.5546875" style="12"/>
    <col min="9464" max="9464" width="12.5546875" style="12" customWidth="1"/>
    <col min="9465" max="9465" width="28.5546875" style="12" customWidth="1"/>
    <col min="9466" max="9468" width="18.5546875" style="12" customWidth="1"/>
    <col min="9469" max="9469" width="16.5546875" style="12" customWidth="1"/>
    <col min="9470" max="9470" width="1.5546875" style="12" customWidth="1"/>
    <col min="9471" max="9471" width="16.5546875" style="12" customWidth="1"/>
    <col min="9472" max="9472" width="1.5546875" style="12" customWidth="1"/>
    <col min="9473" max="9473" width="16.5546875" style="12" customWidth="1"/>
    <col min="9474" max="9474" width="1.5546875" style="12" customWidth="1"/>
    <col min="9475" max="9475" width="16.5546875" style="12" customWidth="1"/>
    <col min="9476" max="9476" width="1.5546875" style="12" customWidth="1"/>
    <col min="9477" max="9477" width="16.5546875" style="12" customWidth="1"/>
    <col min="9478" max="9478" width="1.5546875" style="12" customWidth="1"/>
    <col min="9479" max="9479" width="16.5546875" style="12" customWidth="1"/>
    <col min="9480" max="9480" width="1.5546875" style="12" customWidth="1"/>
    <col min="9481" max="9481" width="16.5546875" style="12" customWidth="1"/>
    <col min="9482" max="9482" width="1.5546875" style="12" customWidth="1"/>
    <col min="9483" max="9483" width="16.5546875" style="12" customWidth="1"/>
    <col min="9484" max="9484" width="1.5546875" style="12" customWidth="1"/>
    <col min="9485" max="9486" width="16.5546875" style="12" customWidth="1"/>
    <col min="9487" max="9719" width="8.5546875" style="12"/>
    <col min="9720" max="9720" width="12.5546875" style="12" customWidth="1"/>
    <col min="9721" max="9721" width="28.5546875" style="12" customWidth="1"/>
    <col min="9722" max="9724" width="18.5546875" style="12" customWidth="1"/>
    <col min="9725" max="9725" width="16.5546875" style="12" customWidth="1"/>
    <col min="9726" max="9726" width="1.5546875" style="12" customWidth="1"/>
    <col min="9727" max="9727" width="16.5546875" style="12" customWidth="1"/>
    <col min="9728" max="9728" width="1.5546875" style="12" customWidth="1"/>
    <col min="9729" max="9729" width="16.5546875" style="12" customWidth="1"/>
    <col min="9730" max="9730" width="1.5546875" style="12" customWidth="1"/>
    <col min="9731" max="9731" width="16.5546875" style="12" customWidth="1"/>
    <col min="9732" max="9732" width="1.5546875" style="12" customWidth="1"/>
    <col min="9733" max="9733" width="16.5546875" style="12" customWidth="1"/>
    <col min="9734" max="9734" width="1.5546875" style="12" customWidth="1"/>
    <col min="9735" max="9735" width="16.5546875" style="12" customWidth="1"/>
    <col min="9736" max="9736" width="1.5546875" style="12" customWidth="1"/>
    <col min="9737" max="9737" width="16.5546875" style="12" customWidth="1"/>
    <col min="9738" max="9738" width="1.5546875" style="12" customWidth="1"/>
    <col min="9739" max="9739" width="16.5546875" style="12" customWidth="1"/>
    <col min="9740" max="9740" width="1.5546875" style="12" customWidth="1"/>
    <col min="9741" max="9742" width="16.5546875" style="12" customWidth="1"/>
    <col min="9743" max="9975" width="8.5546875" style="12"/>
    <col min="9976" max="9976" width="12.5546875" style="12" customWidth="1"/>
    <col min="9977" max="9977" width="28.5546875" style="12" customWidth="1"/>
    <col min="9978" max="9980" width="18.5546875" style="12" customWidth="1"/>
    <col min="9981" max="9981" width="16.5546875" style="12" customWidth="1"/>
    <col min="9982" max="9982" width="1.5546875" style="12" customWidth="1"/>
    <col min="9983" max="9983" width="16.5546875" style="12" customWidth="1"/>
    <col min="9984" max="9984" width="1.5546875" style="12" customWidth="1"/>
    <col min="9985" max="9985" width="16.5546875" style="12" customWidth="1"/>
    <col min="9986" max="9986" width="1.5546875" style="12" customWidth="1"/>
    <col min="9987" max="9987" width="16.5546875" style="12" customWidth="1"/>
    <col min="9988" max="9988" width="1.5546875" style="12" customWidth="1"/>
    <col min="9989" max="9989" width="16.5546875" style="12" customWidth="1"/>
    <col min="9990" max="9990" width="1.5546875" style="12" customWidth="1"/>
    <col min="9991" max="9991" width="16.5546875" style="12" customWidth="1"/>
    <col min="9992" max="9992" width="1.5546875" style="12" customWidth="1"/>
    <col min="9993" max="9993" width="16.5546875" style="12" customWidth="1"/>
    <col min="9994" max="9994" width="1.5546875" style="12" customWidth="1"/>
    <col min="9995" max="9995" width="16.5546875" style="12" customWidth="1"/>
    <col min="9996" max="9996" width="1.5546875" style="12" customWidth="1"/>
    <col min="9997" max="9998" width="16.5546875" style="12" customWidth="1"/>
    <col min="9999" max="10231" width="8.5546875" style="12"/>
    <col min="10232" max="10232" width="12.5546875" style="12" customWidth="1"/>
    <col min="10233" max="10233" width="28.5546875" style="12" customWidth="1"/>
    <col min="10234" max="10236" width="18.5546875" style="12" customWidth="1"/>
    <col min="10237" max="10237" width="16.5546875" style="12" customWidth="1"/>
    <col min="10238" max="10238" width="1.5546875" style="12" customWidth="1"/>
    <col min="10239" max="10239" width="16.5546875" style="12" customWidth="1"/>
    <col min="10240" max="10240" width="1.5546875" style="12" customWidth="1"/>
    <col min="10241" max="10241" width="16.5546875" style="12" customWidth="1"/>
    <col min="10242" max="10242" width="1.5546875" style="12" customWidth="1"/>
    <col min="10243" max="10243" width="16.5546875" style="12" customWidth="1"/>
    <col min="10244" max="10244" width="1.5546875" style="12" customWidth="1"/>
    <col min="10245" max="10245" width="16.5546875" style="12" customWidth="1"/>
    <col min="10246" max="10246" width="1.5546875" style="12" customWidth="1"/>
    <col min="10247" max="10247" width="16.5546875" style="12" customWidth="1"/>
    <col min="10248" max="10248" width="1.5546875" style="12" customWidth="1"/>
    <col min="10249" max="10249" width="16.5546875" style="12" customWidth="1"/>
    <col min="10250" max="10250" width="1.5546875" style="12" customWidth="1"/>
    <col min="10251" max="10251" width="16.5546875" style="12" customWidth="1"/>
    <col min="10252" max="10252" width="1.5546875" style="12" customWidth="1"/>
    <col min="10253" max="10254" width="16.5546875" style="12" customWidth="1"/>
    <col min="10255" max="10487" width="8.5546875" style="12"/>
    <col min="10488" max="10488" width="12.5546875" style="12" customWidth="1"/>
    <col min="10489" max="10489" width="28.5546875" style="12" customWidth="1"/>
    <col min="10490" max="10492" width="18.5546875" style="12" customWidth="1"/>
    <col min="10493" max="10493" width="16.5546875" style="12" customWidth="1"/>
    <col min="10494" max="10494" width="1.5546875" style="12" customWidth="1"/>
    <col min="10495" max="10495" width="16.5546875" style="12" customWidth="1"/>
    <col min="10496" max="10496" width="1.5546875" style="12" customWidth="1"/>
    <col min="10497" max="10497" width="16.5546875" style="12" customWidth="1"/>
    <col min="10498" max="10498" width="1.5546875" style="12" customWidth="1"/>
    <col min="10499" max="10499" width="16.5546875" style="12" customWidth="1"/>
    <col min="10500" max="10500" width="1.5546875" style="12" customWidth="1"/>
    <col min="10501" max="10501" width="16.5546875" style="12" customWidth="1"/>
    <col min="10502" max="10502" width="1.5546875" style="12" customWidth="1"/>
    <col min="10503" max="10503" width="16.5546875" style="12" customWidth="1"/>
    <col min="10504" max="10504" width="1.5546875" style="12" customWidth="1"/>
    <col min="10505" max="10505" width="16.5546875" style="12" customWidth="1"/>
    <col min="10506" max="10506" width="1.5546875" style="12" customWidth="1"/>
    <col min="10507" max="10507" width="16.5546875" style="12" customWidth="1"/>
    <col min="10508" max="10508" width="1.5546875" style="12" customWidth="1"/>
    <col min="10509" max="10510" width="16.5546875" style="12" customWidth="1"/>
    <col min="10511" max="10743" width="8.5546875" style="12"/>
    <col min="10744" max="10744" width="12.5546875" style="12" customWidth="1"/>
    <col min="10745" max="10745" width="28.5546875" style="12" customWidth="1"/>
    <col min="10746" max="10748" width="18.5546875" style="12" customWidth="1"/>
    <col min="10749" max="10749" width="16.5546875" style="12" customWidth="1"/>
    <col min="10750" max="10750" width="1.5546875" style="12" customWidth="1"/>
    <col min="10751" max="10751" width="16.5546875" style="12" customWidth="1"/>
    <col min="10752" max="10752" width="1.5546875" style="12" customWidth="1"/>
    <col min="10753" max="10753" width="16.5546875" style="12" customWidth="1"/>
    <col min="10754" max="10754" width="1.5546875" style="12" customWidth="1"/>
    <col min="10755" max="10755" width="16.5546875" style="12" customWidth="1"/>
    <col min="10756" max="10756" width="1.5546875" style="12" customWidth="1"/>
    <col min="10757" max="10757" width="16.5546875" style="12" customWidth="1"/>
    <col min="10758" max="10758" width="1.5546875" style="12" customWidth="1"/>
    <col min="10759" max="10759" width="16.5546875" style="12" customWidth="1"/>
    <col min="10760" max="10760" width="1.5546875" style="12" customWidth="1"/>
    <col min="10761" max="10761" width="16.5546875" style="12" customWidth="1"/>
    <col min="10762" max="10762" width="1.5546875" style="12" customWidth="1"/>
    <col min="10763" max="10763" width="16.5546875" style="12" customWidth="1"/>
    <col min="10764" max="10764" width="1.5546875" style="12" customWidth="1"/>
    <col min="10765" max="10766" width="16.5546875" style="12" customWidth="1"/>
    <col min="10767" max="10999" width="8.5546875" style="12"/>
    <col min="11000" max="11000" width="12.5546875" style="12" customWidth="1"/>
    <col min="11001" max="11001" width="28.5546875" style="12" customWidth="1"/>
    <col min="11002" max="11004" width="18.5546875" style="12" customWidth="1"/>
    <col min="11005" max="11005" width="16.5546875" style="12" customWidth="1"/>
    <col min="11006" max="11006" width="1.5546875" style="12" customWidth="1"/>
    <col min="11007" max="11007" width="16.5546875" style="12" customWidth="1"/>
    <col min="11008" max="11008" width="1.5546875" style="12" customWidth="1"/>
    <col min="11009" max="11009" width="16.5546875" style="12" customWidth="1"/>
    <col min="11010" max="11010" width="1.5546875" style="12" customWidth="1"/>
    <col min="11011" max="11011" width="16.5546875" style="12" customWidth="1"/>
    <col min="11012" max="11012" width="1.5546875" style="12" customWidth="1"/>
    <col min="11013" max="11013" width="16.5546875" style="12" customWidth="1"/>
    <col min="11014" max="11014" width="1.5546875" style="12" customWidth="1"/>
    <col min="11015" max="11015" width="16.5546875" style="12" customWidth="1"/>
    <col min="11016" max="11016" width="1.5546875" style="12" customWidth="1"/>
    <col min="11017" max="11017" width="16.5546875" style="12" customWidth="1"/>
    <col min="11018" max="11018" width="1.5546875" style="12" customWidth="1"/>
    <col min="11019" max="11019" width="16.5546875" style="12" customWidth="1"/>
    <col min="11020" max="11020" width="1.5546875" style="12" customWidth="1"/>
    <col min="11021" max="11022" width="16.5546875" style="12" customWidth="1"/>
    <col min="11023" max="11255" width="8.5546875" style="12"/>
    <col min="11256" max="11256" width="12.5546875" style="12" customWidth="1"/>
    <col min="11257" max="11257" width="28.5546875" style="12" customWidth="1"/>
    <col min="11258" max="11260" width="18.5546875" style="12" customWidth="1"/>
    <col min="11261" max="11261" width="16.5546875" style="12" customWidth="1"/>
    <col min="11262" max="11262" width="1.5546875" style="12" customWidth="1"/>
    <col min="11263" max="11263" width="16.5546875" style="12" customWidth="1"/>
    <col min="11264" max="11264" width="1.5546875" style="12" customWidth="1"/>
    <col min="11265" max="11265" width="16.5546875" style="12" customWidth="1"/>
    <col min="11266" max="11266" width="1.5546875" style="12" customWidth="1"/>
    <col min="11267" max="11267" width="16.5546875" style="12" customWidth="1"/>
    <col min="11268" max="11268" width="1.5546875" style="12" customWidth="1"/>
    <col min="11269" max="11269" width="16.5546875" style="12" customWidth="1"/>
    <col min="11270" max="11270" width="1.5546875" style="12" customWidth="1"/>
    <col min="11271" max="11271" width="16.5546875" style="12" customWidth="1"/>
    <col min="11272" max="11272" width="1.5546875" style="12" customWidth="1"/>
    <col min="11273" max="11273" width="16.5546875" style="12" customWidth="1"/>
    <col min="11274" max="11274" width="1.5546875" style="12" customWidth="1"/>
    <col min="11275" max="11275" width="16.5546875" style="12" customWidth="1"/>
    <col min="11276" max="11276" width="1.5546875" style="12" customWidth="1"/>
    <col min="11277" max="11278" width="16.5546875" style="12" customWidth="1"/>
    <col min="11279" max="11511" width="8.5546875" style="12"/>
    <col min="11512" max="11512" width="12.5546875" style="12" customWidth="1"/>
    <col min="11513" max="11513" width="28.5546875" style="12" customWidth="1"/>
    <col min="11514" max="11516" width="18.5546875" style="12" customWidth="1"/>
    <col min="11517" max="11517" width="16.5546875" style="12" customWidth="1"/>
    <col min="11518" max="11518" width="1.5546875" style="12" customWidth="1"/>
    <col min="11519" max="11519" width="16.5546875" style="12" customWidth="1"/>
    <col min="11520" max="11520" width="1.5546875" style="12" customWidth="1"/>
    <col min="11521" max="11521" width="16.5546875" style="12" customWidth="1"/>
    <col min="11522" max="11522" width="1.5546875" style="12" customWidth="1"/>
    <col min="11523" max="11523" width="16.5546875" style="12" customWidth="1"/>
    <col min="11524" max="11524" width="1.5546875" style="12" customWidth="1"/>
    <col min="11525" max="11525" width="16.5546875" style="12" customWidth="1"/>
    <col min="11526" max="11526" width="1.5546875" style="12" customWidth="1"/>
    <col min="11527" max="11527" width="16.5546875" style="12" customWidth="1"/>
    <col min="11528" max="11528" width="1.5546875" style="12" customWidth="1"/>
    <col min="11529" max="11529" width="16.5546875" style="12" customWidth="1"/>
    <col min="11530" max="11530" width="1.5546875" style="12" customWidth="1"/>
    <col min="11531" max="11531" width="16.5546875" style="12" customWidth="1"/>
    <col min="11532" max="11532" width="1.5546875" style="12" customWidth="1"/>
    <col min="11533" max="11534" width="16.5546875" style="12" customWidth="1"/>
    <col min="11535" max="11767" width="8.5546875" style="12"/>
    <col min="11768" max="11768" width="12.5546875" style="12" customWidth="1"/>
    <col min="11769" max="11769" width="28.5546875" style="12" customWidth="1"/>
    <col min="11770" max="11772" width="18.5546875" style="12" customWidth="1"/>
    <col min="11773" max="11773" width="16.5546875" style="12" customWidth="1"/>
    <col min="11774" max="11774" width="1.5546875" style="12" customWidth="1"/>
    <col min="11775" max="11775" width="16.5546875" style="12" customWidth="1"/>
    <col min="11776" max="11776" width="1.5546875" style="12" customWidth="1"/>
    <col min="11777" max="11777" width="16.5546875" style="12" customWidth="1"/>
    <col min="11778" max="11778" width="1.5546875" style="12" customWidth="1"/>
    <col min="11779" max="11779" width="16.5546875" style="12" customWidth="1"/>
    <col min="11780" max="11780" width="1.5546875" style="12" customWidth="1"/>
    <col min="11781" max="11781" width="16.5546875" style="12" customWidth="1"/>
    <col min="11782" max="11782" width="1.5546875" style="12" customWidth="1"/>
    <col min="11783" max="11783" width="16.5546875" style="12" customWidth="1"/>
    <col min="11784" max="11784" width="1.5546875" style="12" customWidth="1"/>
    <col min="11785" max="11785" width="16.5546875" style="12" customWidth="1"/>
    <col min="11786" max="11786" width="1.5546875" style="12" customWidth="1"/>
    <col min="11787" max="11787" width="16.5546875" style="12" customWidth="1"/>
    <col min="11788" max="11788" width="1.5546875" style="12" customWidth="1"/>
    <col min="11789" max="11790" width="16.5546875" style="12" customWidth="1"/>
    <col min="11791" max="12023" width="8.5546875" style="12"/>
    <col min="12024" max="12024" width="12.5546875" style="12" customWidth="1"/>
    <col min="12025" max="12025" width="28.5546875" style="12" customWidth="1"/>
    <col min="12026" max="12028" width="18.5546875" style="12" customWidth="1"/>
    <col min="12029" max="12029" width="16.5546875" style="12" customWidth="1"/>
    <col min="12030" max="12030" width="1.5546875" style="12" customWidth="1"/>
    <col min="12031" max="12031" width="16.5546875" style="12" customWidth="1"/>
    <col min="12032" max="12032" width="1.5546875" style="12" customWidth="1"/>
    <col min="12033" max="12033" width="16.5546875" style="12" customWidth="1"/>
    <col min="12034" max="12034" width="1.5546875" style="12" customWidth="1"/>
    <col min="12035" max="12035" width="16.5546875" style="12" customWidth="1"/>
    <col min="12036" max="12036" width="1.5546875" style="12" customWidth="1"/>
    <col min="12037" max="12037" width="16.5546875" style="12" customWidth="1"/>
    <col min="12038" max="12038" width="1.5546875" style="12" customWidth="1"/>
    <col min="12039" max="12039" width="16.5546875" style="12" customWidth="1"/>
    <col min="12040" max="12040" width="1.5546875" style="12" customWidth="1"/>
    <col min="12041" max="12041" width="16.5546875" style="12" customWidth="1"/>
    <col min="12042" max="12042" width="1.5546875" style="12" customWidth="1"/>
    <col min="12043" max="12043" width="16.5546875" style="12" customWidth="1"/>
    <col min="12044" max="12044" width="1.5546875" style="12" customWidth="1"/>
    <col min="12045" max="12046" width="16.5546875" style="12" customWidth="1"/>
    <col min="12047" max="12279" width="8.5546875" style="12"/>
    <col min="12280" max="12280" width="12.5546875" style="12" customWidth="1"/>
    <col min="12281" max="12281" width="28.5546875" style="12" customWidth="1"/>
    <col min="12282" max="12284" width="18.5546875" style="12" customWidth="1"/>
    <col min="12285" max="12285" width="16.5546875" style="12" customWidth="1"/>
    <col min="12286" max="12286" width="1.5546875" style="12" customWidth="1"/>
    <col min="12287" max="12287" width="16.5546875" style="12" customWidth="1"/>
    <col min="12288" max="12288" width="1.5546875" style="12" customWidth="1"/>
    <col min="12289" max="12289" width="16.5546875" style="12" customWidth="1"/>
    <col min="12290" max="12290" width="1.5546875" style="12" customWidth="1"/>
    <col min="12291" max="12291" width="16.5546875" style="12" customWidth="1"/>
    <col min="12292" max="12292" width="1.5546875" style="12" customWidth="1"/>
    <col min="12293" max="12293" width="16.5546875" style="12" customWidth="1"/>
    <col min="12294" max="12294" width="1.5546875" style="12" customWidth="1"/>
    <col min="12295" max="12295" width="16.5546875" style="12" customWidth="1"/>
    <col min="12296" max="12296" width="1.5546875" style="12" customWidth="1"/>
    <col min="12297" max="12297" width="16.5546875" style="12" customWidth="1"/>
    <col min="12298" max="12298" width="1.5546875" style="12" customWidth="1"/>
    <col min="12299" max="12299" width="16.5546875" style="12" customWidth="1"/>
    <col min="12300" max="12300" width="1.5546875" style="12" customWidth="1"/>
    <col min="12301" max="12302" width="16.5546875" style="12" customWidth="1"/>
    <col min="12303" max="12535" width="8.5546875" style="12"/>
    <col min="12536" max="12536" width="12.5546875" style="12" customWidth="1"/>
    <col min="12537" max="12537" width="28.5546875" style="12" customWidth="1"/>
    <col min="12538" max="12540" width="18.5546875" style="12" customWidth="1"/>
    <col min="12541" max="12541" width="16.5546875" style="12" customWidth="1"/>
    <col min="12542" max="12542" width="1.5546875" style="12" customWidth="1"/>
    <col min="12543" max="12543" width="16.5546875" style="12" customWidth="1"/>
    <col min="12544" max="12544" width="1.5546875" style="12" customWidth="1"/>
    <col min="12545" max="12545" width="16.5546875" style="12" customWidth="1"/>
    <col min="12546" max="12546" width="1.5546875" style="12" customWidth="1"/>
    <col min="12547" max="12547" width="16.5546875" style="12" customWidth="1"/>
    <col min="12548" max="12548" width="1.5546875" style="12" customWidth="1"/>
    <col min="12549" max="12549" width="16.5546875" style="12" customWidth="1"/>
    <col min="12550" max="12550" width="1.5546875" style="12" customWidth="1"/>
    <col min="12551" max="12551" width="16.5546875" style="12" customWidth="1"/>
    <col min="12552" max="12552" width="1.5546875" style="12" customWidth="1"/>
    <col min="12553" max="12553" width="16.5546875" style="12" customWidth="1"/>
    <col min="12554" max="12554" width="1.5546875" style="12" customWidth="1"/>
    <col min="12555" max="12555" width="16.5546875" style="12" customWidth="1"/>
    <col min="12556" max="12556" width="1.5546875" style="12" customWidth="1"/>
    <col min="12557" max="12558" width="16.5546875" style="12" customWidth="1"/>
    <col min="12559" max="12791" width="8.5546875" style="12"/>
    <col min="12792" max="12792" width="12.5546875" style="12" customWidth="1"/>
    <col min="12793" max="12793" width="28.5546875" style="12" customWidth="1"/>
    <col min="12794" max="12796" width="18.5546875" style="12" customWidth="1"/>
    <col min="12797" max="12797" width="16.5546875" style="12" customWidth="1"/>
    <col min="12798" max="12798" width="1.5546875" style="12" customWidth="1"/>
    <col min="12799" max="12799" width="16.5546875" style="12" customWidth="1"/>
    <col min="12800" max="12800" width="1.5546875" style="12" customWidth="1"/>
    <col min="12801" max="12801" width="16.5546875" style="12" customWidth="1"/>
    <col min="12802" max="12802" width="1.5546875" style="12" customWidth="1"/>
    <col min="12803" max="12803" width="16.5546875" style="12" customWidth="1"/>
    <col min="12804" max="12804" width="1.5546875" style="12" customWidth="1"/>
    <col min="12805" max="12805" width="16.5546875" style="12" customWidth="1"/>
    <col min="12806" max="12806" width="1.5546875" style="12" customWidth="1"/>
    <col min="12807" max="12807" width="16.5546875" style="12" customWidth="1"/>
    <col min="12808" max="12808" width="1.5546875" style="12" customWidth="1"/>
    <col min="12809" max="12809" width="16.5546875" style="12" customWidth="1"/>
    <col min="12810" max="12810" width="1.5546875" style="12" customWidth="1"/>
    <col min="12811" max="12811" width="16.5546875" style="12" customWidth="1"/>
    <col min="12812" max="12812" width="1.5546875" style="12" customWidth="1"/>
    <col min="12813" max="12814" width="16.5546875" style="12" customWidth="1"/>
    <col min="12815" max="13047" width="8.5546875" style="12"/>
    <col min="13048" max="13048" width="12.5546875" style="12" customWidth="1"/>
    <col min="13049" max="13049" width="28.5546875" style="12" customWidth="1"/>
    <col min="13050" max="13052" width="18.5546875" style="12" customWidth="1"/>
    <col min="13053" max="13053" width="16.5546875" style="12" customWidth="1"/>
    <col min="13054" max="13054" width="1.5546875" style="12" customWidth="1"/>
    <col min="13055" max="13055" width="16.5546875" style="12" customWidth="1"/>
    <col min="13056" max="13056" width="1.5546875" style="12" customWidth="1"/>
    <col min="13057" max="13057" width="16.5546875" style="12" customWidth="1"/>
    <col min="13058" max="13058" width="1.5546875" style="12" customWidth="1"/>
    <col min="13059" max="13059" width="16.5546875" style="12" customWidth="1"/>
    <col min="13060" max="13060" width="1.5546875" style="12" customWidth="1"/>
    <col min="13061" max="13061" width="16.5546875" style="12" customWidth="1"/>
    <col min="13062" max="13062" width="1.5546875" style="12" customWidth="1"/>
    <col min="13063" max="13063" width="16.5546875" style="12" customWidth="1"/>
    <col min="13064" max="13064" width="1.5546875" style="12" customWidth="1"/>
    <col min="13065" max="13065" width="16.5546875" style="12" customWidth="1"/>
    <col min="13066" max="13066" width="1.5546875" style="12" customWidth="1"/>
    <col min="13067" max="13067" width="16.5546875" style="12" customWidth="1"/>
    <col min="13068" max="13068" width="1.5546875" style="12" customWidth="1"/>
    <col min="13069" max="13070" width="16.5546875" style="12" customWidth="1"/>
    <col min="13071" max="13303" width="8.5546875" style="12"/>
    <col min="13304" max="13304" width="12.5546875" style="12" customWidth="1"/>
    <col min="13305" max="13305" width="28.5546875" style="12" customWidth="1"/>
    <col min="13306" max="13308" width="18.5546875" style="12" customWidth="1"/>
    <col min="13309" max="13309" width="16.5546875" style="12" customWidth="1"/>
    <col min="13310" max="13310" width="1.5546875" style="12" customWidth="1"/>
    <col min="13311" max="13311" width="16.5546875" style="12" customWidth="1"/>
    <col min="13312" max="13312" width="1.5546875" style="12" customWidth="1"/>
    <col min="13313" max="13313" width="16.5546875" style="12" customWidth="1"/>
    <col min="13314" max="13314" width="1.5546875" style="12" customWidth="1"/>
    <col min="13315" max="13315" width="16.5546875" style="12" customWidth="1"/>
    <col min="13316" max="13316" width="1.5546875" style="12" customWidth="1"/>
    <col min="13317" max="13317" width="16.5546875" style="12" customWidth="1"/>
    <col min="13318" max="13318" width="1.5546875" style="12" customWidth="1"/>
    <col min="13319" max="13319" width="16.5546875" style="12" customWidth="1"/>
    <col min="13320" max="13320" width="1.5546875" style="12" customWidth="1"/>
    <col min="13321" max="13321" width="16.5546875" style="12" customWidth="1"/>
    <col min="13322" max="13322" width="1.5546875" style="12" customWidth="1"/>
    <col min="13323" max="13323" width="16.5546875" style="12" customWidth="1"/>
    <col min="13324" max="13324" width="1.5546875" style="12" customWidth="1"/>
    <col min="13325" max="13326" width="16.5546875" style="12" customWidth="1"/>
    <col min="13327" max="13559" width="8.5546875" style="12"/>
    <col min="13560" max="13560" width="12.5546875" style="12" customWidth="1"/>
    <col min="13561" max="13561" width="28.5546875" style="12" customWidth="1"/>
    <col min="13562" max="13564" width="18.5546875" style="12" customWidth="1"/>
    <col min="13565" max="13565" width="16.5546875" style="12" customWidth="1"/>
    <col min="13566" max="13566" width="1.5546875" style="12" customWidth="1"/>
    <col min="13567" max="13567" width="16.5546875" style="12" customWidth="1"/>
    <col min="13568" max="13568" width="1.5546875" style="12" customWidth="1"/>
    <col min="13569" max="13569" width="16.5546875" style="12" customWidth="1"/>
    <col min="13570" max="13570" width="1.5546875" style="12" customWidth="1"/>
    <col min="13571" max="13571" width="16.5546875" style="12" customWidth="1"/>
    <col min="13572" max="13572" width="1.5546875" style="12" customWidth="1"/>
    <col min="13573" max="13573" width="16.5546875" style="12" customWidth="1"/>
    <col min="13574" max="13574" width="1.5546875" style="12" customWidth="1"/>
    <col min="13575" max="13575" width="16.5546875" style="12" customWidth="1"/>
    <col min="13576" max="13576" width="1.5546875" style="12" customWidth="1"/>
    <col min="13577" max="13577" width="16.5546875" style="12" customWidth="1"/>
    <col min="13578" max="13578" width="1.5546875" style="12" customWidth="1"/>
    <col min="13579" max="13579" width="16.5546875" style="12" customWidth="1"/>
    <col min="13580" max="13580" width="1.5546875" style="12" customWidth="1"/>
    <col min="13581" max="13582" width="16.5546875" style="12" customWidth="1"/>
    <col min="13583" max="13815" width="8.5546875" style="12"/>
    <col min="13816" max="13816" width="12.5546875" style="12" customWidth="1"/>
    <col min="13817" max="13817" width="28.5546875" style="12" customWidth="1"/>
    <col min="13818" max="13820" width="18.5546875" style="12" customWidth="1"/>
    <col min="13821" max="13821" width="16.5546875" style="12" customWidth="1"/>
    <col min="13822" max="13822" width="1.5546875" style="12" customWidth="1"/>
    <col min="13823" max="13823" width="16.5546875" style="12" customWidth="1"/>
    <col min="13824" max="13824" width="1.5546875" style="12" customWidth="1"/>
    <col min="13825" max="13825" width="16.5546875" style="12" customWidth="1"/>
    <col min="13826" max="13826" width="1.5546875" style="12" customWidth="1"/>
    <col min="13827" max="13827" width="16.5546875" style="12" customWidth="1"/>
    <col min="13828" max="13828" width="1.5546875" style="12" customWidth="1"/>
    <col min="13829" max="13829" width="16.5546875" style="12" customWidth="1"/>
    <col min="13830" max="13830" width="1.5546875" style="12" customWidth="1"/>
    <col min="13831" max="13831" width="16.5546875" style="12" customWidth="1"/>
    <col min="13832" max="13832" width="1.5546875" style="12" customWidth="1"/>
    <col min="13833" max="13833" width="16.5546875" style="12" customWidth="1"/>
    <col min="13834" max="13834" width="1.5546875" style="12" customWidth="1"/>
    <col min="13835" max="13835" width="16.5546875" style="12" customWidth="1"/>
    <col min="13836" max="13836" width="1.5546875" style="12" customWidth="1"/>
    <col min="13837" max="13838" width="16.5546875" style="12" customWidth="1"/>
    <col min="13839" max="14071" width="8.5546875" style="12"/>
    <col min="14072" max="14072" width="12.5546875" style="12" customWidth="1"/>
    <col min="14073" max="14073" width="28.5546875" style="12" customWidth="1"/>
    <col min="14074" max="14076" width="18.5546875" style="12" customWidth="1"/>
    <col min="14077" max="14077" width="16.5546875" style="12" customWidth="1"/>
    <col min="14078" max="14078" width="1.5546875" style="12" customWidth="1"/>
    <col min="14079" max="14079" width="16.5546875" style="12" customWidth="1"/>
    <col min="14080" max="14080" width="1.5546875" style="12" customWidth="1"/>
    <col min="14081" max="14081" width="16.5546875" style="12" customWidth="1"/>
    <col min="14082" max="14082" width="1.5546875" style="12" customWidth="1"/>
    <col min="14083" max="14083" width="16.5546875" style="12" customWidth="1"/>
    <col min="14084" max="14084" width="1.5546875" style="12" customWidth="1"/>
    <col min="14085" max="14085" width="16.5546875" style="12" customWidth="1"/>
    <col min="14086" max="14086" width="1.5546875" style="12" customWidth="1"/>
    <col min="14087" max="14087" width="16.5546875" style="12" customWidth="1"/>
    <col min="14088" max="14088" width="1.5546875" style="12" customWidth="1"/>
    <col min="14089" max="14089" width="16.5546875" style="12" customWidth="1"/>
    <col min="14090" max="14090" width="1.5546875" style="12" customWidth="1"/>
    <col min="14091" max="14091" width="16.5546875" style="12" customWidth="1"/>
    <col min="14092" max="14092" width="1.5546875" style="12" customWidth="1"/>
    <col min="14093" max="14094" width="16.5546875" style="12" customWidth="1"/>
    <col min="14095" max="14327" width="8.5546875" style="12"/>
    <col min="14328" max="14328" width="12.5546875" style="12" customWidth="1"/>
    <col min="14329" max="14329" width="28.5546875" style="12" customWidth="1"/>
    <col min="14330" max="14332" width="18.5546875" style="12" customWidth="1"/>
    <col min="14333" max="14333" width="16.5546875" style="12" customWidth="1"/>
    <col min="14334" max="14334" width="1.5546875" style="12" customWidth="1"/>
    <col min="14335" max="14335" width="16.5546875" style="12" customWidth="1"/>
    <col min="14336" max="14336" width="1.5546875" style="12" customWidth="1"/>
    <col min="14337" max="14337" width="16.5546875" style="12" customWidth="1"/>
    <col min="14338" max="14338" width="1.5546875" style="12" customWidth="1"/>
    <col min="14339" max="14339" width="16.5546875" style="12" customWidth="1"/>
    <col min="14340" max="14340" width="1.5546875" style="12" customWidth="1"/>
    <col min="14341" max="14341" width="16.5546875" style="12" customWidth="1"/>
    <col min="14342" max="14342" width="1.5546875" style="12" customWidth="1"/>
    <col min="14343" max="14343" width="16.5546875" style="12" customWidth="1"/>
    <col min="14344" max="14344" width="1.5546875" style="12" customWidth="1"/>
    <col min="14345" max="14345" width="16.5546875" style="12" customWidth="1"/>
    <col min="14346" max="14346" width="1.5546875" style="12" customWidth="1"/>
    <col min="14347" max="14347" width="16.5546875" style="12" customWidth="1"/>
    <col min="14348" max="14348" width="1.5546875" style="12" customWidth="1"/>
    <col min="14349" max="14350" width="16.5546875" style="12" customWidth="1"/>
    <col min="14351" max="14583" width="8.5546875" style="12"/>
    <col min="14584" max="14584" width="12.5546875" style="12" customWidth="1"/>
    <col min="14585" max="14585" width="28.5546875" style="12" customWidth="1"/>
    <col min="14586" max="14588" width="18.5546875" style="12" customWidth="1"/>
    <col min="14589" max="14589" width="16.5546875" style="12" customWidth="1"/>
    <col min="14590" max="14590" width="1.5546875" style="12" customWidth="1"/>
    <col min="14591" max="14591" width="16.5546875" style="12" customWidth="1"/>
    <col min="14592" max="14592" width="1.5546875" style="12" customWidth="1"/>
    <col min="14593" max="14593" width="16.5546875" style="12" customWidth="1"/>
    <col min="14594" max="14594" width="1.5546875" style="12" customWidth="1"/>
    <col min="14595" max="14595" width="16.5546875" style="12" customWidth="1"/>
    <col min="14596" max="14596" width="1.5546875" style="12" customWidth="1"/>
    <col min="14597" max="14597" width="16.5546875" style="12" customWidth="1"/>
    <col min="14598" max="14598" width="1.5546875" style="12" customWidth="1"/>
    <col min="14599" max="14599" width="16.5546875" style="12" customWidth="1"/>
    <col min="14600" max="14600" width="1.5546875" style="12" customWidth="1"/>
    <col min="14601" max="14601" width="16.5546875" style="12" customWidth="1"/>
    <col min="14602" max="14602" width="1.5546875" style="12" customWidth="1"/>
    <col min="14603" max="14603" width="16.5546875" style="12" customWidth="1"/>
    <col min="14604" max="14604" width="1.5546875" style="12" customWidth="1"/>
    <col min="14605" max="14606" width="16.5546875" style="12" customWidth="1"/>
    <col min="14607" max="14839" width="8.5546875" style="12"/>
    <col min="14840" max="14840" width="12.5546875" style="12" customWidth="1"/>
    <col min="14841" max="14841" width="28.5546875" style="12" customWidth="1"/>
    <col min="14842" max="14844" width="18.5546875" style="12" customWidth="1"/>
    <col min="14845" max="14845" width="16.5546875" style="12" customWidth="1"/>
    <col min="14846" max="14846" width="1.5546875" style="12" customWidth="1"/>
    <col min="14847" max="14847" width="16.5546875" style="12" customWidth="1"/>
    <col min="14848" max="14848" width="1.5546875" style="12" customWidth="1"/>
    <col min="14849" max="14849" width="16.5546875" style="12" customWidth="1"/>
    <col min="14850" max="14850" width="1.5546875" style="12" customWidth="1"/>
    <col min="14851" max="14851" width="16.5546875" style="12" customWidth="1"/>
    <col min="14852" max="14852" width="1.5546875" style="12" customWidth="1"/>
    <col min="14853" max="14853" width="16.5546875" style="12" customWidth="1"/>
    <col min="14854" max="14854" width="1.5546875" style="12" customWidth="1"/>
    <col min="14855" max="14855" width="16.5546875" style="12" customWidth="1"/>
    <col min="14856" max="14856" width="1.5546875" style="12" customWidth="1"/>
    <col min="14857" max="14857" width="16.5546875" style="12" customWidth="1"/>
    <col min="14858" max="14858" width="1.5546875" style="12" customWidth="1"/>
    <col min="14859" max="14859" width="16.5546875" style="12" customWidth="1"/>
    <col min="14860" max="14860" width="1.5546875" style="12" customWidth="1"/>
    <col min="14861" max="14862" width="16.5546875" style="12" customWidth="1"/>
    <col min="14863" max="15095" width="8.5546875" style="12"/>
    <col min="15096" max="15096" width="12.5546875" style="12" customWidth="1"/>
    <col min="15097" max="15097" width="28.5546875" style="12" customWidth="1"/>
    <col min="15098" max="15100" width="18.5546875" style="12" customWidth="1"/>
    <col min="15101" max="15101" width="16.5546875" style="12" customWidth="1"/>
    <col min="15102" max="15102" width="1.5546875" style="12" customWidth="1"/>
    <col min="15103" max="15103" width="16.5546875" style="12" customWidth="1"/>
    <col min="15104" max="15104" width="1.5546875" style="12" customWidth="1"/>
    <col min="15105" max="15105" width="16.5546875" style="12" customWidth="1"/>
    <col min="15106" max="15106" width="1.5546875" style="12" customWidth="1"/>
    <col min="15107" max="15107" width="16.5546875" style="12" customWidth="1"/>
    <col min="15108" max="15108" width="1.5546875" style="12" customWidth="1"/>
    <col min="15109" max="15109" width="16.5546875" style="12" customWidth="1"/>
    <col min="15110" max="15110" width="1.5546875" style="12" customWidth="1"/>
    <col min="15111" max="15111" width="16.5546875" style="12" customWidth="1"/>
    <col min="15112" max="15112" width="1.5546875" style="12" customWidth="1"/>
    <col min="15113" max="15113" width="16.5546875" style="12" customWidth="1"/>
    <col min="15114" max="15114" width="1.5546875" style="12" customWidth="1"/>
    <col min="15115" max="15115" width="16.5546875" style="12" customWidth="1"/>
    <col min="15116" max="15116" width="1.5546875" style="12" customWidth="1"/>
    <col min="15117" max="15118" width="16.5546875" style="12" customWidth="1"/>
    <col min="15119" max="15351" width="8.5546875" style="12"/>
    <col min="15352" max="15352" width="12.5546875" style="12" customWidth="1"/>
    <col min="15353" max="15353" width="28.5546875" style="12" customWidth="1"/>
    <col min="15354" max="15356" width="18.5546875" style="12" customWidth="1"/>
    <col min="15357" max="15357" width="16.5546875" style="12" customWidth="1"/>
    <col min="15358" max="15358" width="1.5546875" style="12" customWidth="1"/>
    <col min="15359" max="15359" width="16.5546875" style="12" customWidth="1"/>
    <col min="15360" max="15360" width="1.5546875" style="12" customWidth="1"/>
    <col min="15361" max="15361" width="16.5546875" style="12" customWidth="1"/>
    <col min="15362" max="15362" width="1.5546875" style="12" customWidth="1"/>
    <col min="15363" max="15363" width="16.5546875" style="12" customWidth="1"/>
    <col min="15364" max="15364" width="1.5546875" style="12" customWidth="1"/>
    <col min="15365" max="15365" width="16.5546875" style="12" customWidth="1"/>
    <col min="15366" max="15366" width="1.5546875" style="12" customWidth="1"/>
    <col min="15367" max="15367" width="16.5546875" style="12" customWidth="1"/>
    <col min="15368" max="15368" width="1.5546875" style="12" customWidth="1"/>
    <col min="15369" max="15369" width="16.5546875" style="12" customWidth="1"/>
    <col min="15370" max="15370" width="1.5546875" style="12" customWidth="1"/>
    <col min="15371" max="15371" width="16.5546875" style="12" customWidth="1"/>
    <col min="15372" max="15372" width="1.5546875" style="12" customWidth="1"/>
    <col min="15373" max="15374" width="16.5546875" style="12" customWidth="1"/>
    <col min="15375" max="15607" width="8.5546875" style="12"/>
    <col min="15608" max="15608" width="12.5546875" style="12" customWidth="1"/>
    <col min="15609" max="15609" width="28.5546875" style="12" customWidth="1"/>
    <col min="15610" max="15612" width="18.5546875" style="12" customWidth="1"/>
    <col min="15613" max="15613" width="16.5546875" style="12" customWidth="1"/>
    <col min="15614" max="15614" width="1.5546875" style="12" customWidth="1"/>
    <col min="15615" max="15615" width="16.5546875" style="12" customWidth="1"/>
    <col min="15616" max="15616" width="1.5546875" style="12" customWidth="1"/>
    <col min="15617" max="15617" width="16.5546875" style="12" customWidth="1"/>
    <col min="15618" max="15618" width="1.5546875" style="12" customWidth="1"/>
    <col min="15619" max="15619" width="16.5546875" style="12" customWidth="1"/>
    <col min="15620" max="15620" width="1.5546875" style="12" customWidth="1"/>
    <col min="15621" max="15621" width="16.5546875" style="12" customWidth="1"/>
    <col min="15622" max="15622" width="1.5546875" style="12" customWidth="1"/>
    <col min="15623" max="15623" width="16.5546875" style="12" customWidth="1"/>
    <col min="15624" max="15624" width="1.5546875" style="12" customWidth="1"/>
    <col min="15625" max="15625" width="16.5546875" style="12" customWidth="1"/>
    <col min="15626" max="15626" width="1.5546875" style="12" customWidth="1"/>
    <col min="15627" max="15627" width="16.5546875" style="12" customWidth="1"/>
    <col min="15628" max="15628" width="1.5546875" style="12" customWidth="1"/>
    <col min="15629" max="15630" width="16.5546875" style="12" customWidth="1"/>
    <col min="15631" max="15863" width="8.5546875" style="12"/>
    <col min="15864" max="15864" width="12.5546875" style="12" customWidth="1"/>
    <col min="15865" max="15865" width="28.5546875" style="12" customWidth="1"/>
    <col min="15866" max="15868" width="18.5546875" style="12" customWidth="1"/>
    <col min="15869" max="15869" width="16.5546875" style="12" customWidth="1"/>
    <col min="15870" max="15870" width="1.5546875" style="12" customWidth="1"/>
    <col min="15871" max="15871" width="16.5546875" style="12" customWidth="1"/>
    <col min="15872" max="15872" width="1.5546875" style="12" customWidth="1"/>
    <col min="15873" max="15873" width="16.5546875" style="12" customWidth="1"/>
    <col min="15874" max="15874" width="1.5546875" style="12" customWidth="1"/>
    <col min="15875" max="15875" width="16.5546875" style="12" customWidth="1"/>
    <col min="15876" max="15876" width="1.5546875" style="12" customWidth="1"/>
    <col min="15877" max="15877" width="16.5546875" style="12" customWidth="1"/>
    <col min="15878" max="15878" width="1.5546875" style="12" customWidth="1"/>
    <col min="15879" max="15879" width="16.5546875" style="12" customWidth="1"/>
    <col min="15880" max="15880" width="1.5546875" style="12" customWidth="1"/>
    <col min="15881" max="15881" width="16.5546875" style="12" customWidth="1"/>
    <col min="15882" max="15882" width="1.5546875" style="12" customWidth="1"/>
    <col min="15883" max="15883" width="16.5546875" style="12" customWidth="1"/>
    <col min="15884" max="15884" width="1.5546875" style="12" customWidth="1"/>
    <col min="15885" max="15886" width="16.5546875" style="12" customWidth="1"/>
    <col min="15887" max="16119" width="8.5546875" style="12"/>
    <col min="16120" max="16120" width="12.5546875" style="12" customWidth="1"/>
    <col min="16121" max="16121" width="28.5546875" style="12" customWidth="1"/>
    <col min="16122" max="16124" width="18.5546875" style="12" customWidth="1"/>
    <col min="16125" max="16125" width="16.5546875" style="12" customWidth="1"/>
    <col min="16126" max="16126" width="1.5546875" style="12" customWidth="1"/>
    <col min="16127" max="16127" width="16.5546875" style="12" customWidth="1"/>
    <col min="16128" max="16128" width="1.5546875" style="12" customWidth="1"/>
    <col min="16129" max="16129" width="16.5546875" style="12" customWidth="1"/>
    <col min="16130" max="16130" width="1.5546875" style="12" customWidth="1"/>
    <col min="16131" max="16131" width="16.5546875" style="12" customWidth="1"/>
    <col min="16132" max="16132" width="1.5546875" style="12" customWidth="1"/>
    <col min="16133" max="16133" width="16.5546875" style="12" customWidth="1"/>
    <col min="16134" max="16134" width="1.5546875" style="12" customWidth="1"/>
    <col min="16135" max="16135" width="16.5546875" style="12" customWidth="1"/>
    <col min="16136" max="16136" width="1.5546875" style="12" customWidth="1"/>
    <col min="16137" max="16137" width="16.5546875" style="12" customWidth="1"/>
    <col min="16138" max="16138" width="1.5546875" style="12" customWidth="1"/>
    <col min="16139" max="16139" width="16.5546875" style="12" customWidth="1"/>
    <col min="16140" max="16140" width="1.5546875" style="12" customWidth="1"/>
    <col min="16141" max="16142" width="16.5546875" style="12" customWidth="1"/>
    <col min="16143" max="16384" width="8.5546875" style="12"/>
  </cols>
  <sheetData>
    <row r="1" spans="1:81" ht="15" customHeight="1" thickBot="1">
      <c r="B1" s="10"/>
      <c r="C1" s="11" t="s">
        <v>14</v>
      </c>
      <c r="G1" s="255" t="s">
        <v>15</v>
      </c>
      <c r="H1" s="421"/>
      <c r="I1" s="421"/>
      <c r="J1" s="955">
        <f>SUM(G6:P6)</f>
        <v>21031482.102686483</v>
      </c>
      <c r="M1" s="16"/>
    </row>
    <row r="2" spans="1:81" ht="15" customHeight="1">
      <c r="B2" s="1"/>
      <c r="C2" s="1"/>
      <c r="D2" s="1"/>
      <c r="E2" s="1"/>
      <c r="F2" s="15"/>
      <c r="G2" s="12"/>
      <c r="H2" s="12"/>
      <c r="I2" s="12"/>
      <c r="J2" s="12"/>
      <c r="K2" s="12"/>
      <c r="L2" s="12"/>
      <c r="N2" s="155"/>
      <c r="O2" s="155"/>
      <c r="P2" s="155"/>
      <c r="Q2" s="12"/>
      <c r="R2" s="12"/>
      <c r="S2" s="12"/>
    </row>
    <row r="3" spans="1:81" ht="15" customHeight="1">
      <c r="B3" s="179"/>
      <c r="C3" s="17" t="s">
        <v>4</v>
      </c>
      <c r="G3" s="155"/>
      <c r="H3" s="155"/>
      <c r="I3" s="155"/>
      <c r="J3" s="155"/>
      <c r="K3" s="155"/>
      <c r="L3" s="155"/>
      <c r="M3" s="155"/>
      <c r="N3" s="155"/>
      <c r="O3" s="155"/>
      <c r="P3" s="155"/>
    </row>
    <row r="4" spans="1:81" ht="15" customHeight="1">
      <c r="B4" s="180"/>
      <c r="C4" s="17" t="e">
        <f>#REF!</f>
        <v>#REF!</v>
      </c>
      <c r="G4" s="20">
        <v>1</v>
      </c>
      <c r="H4" s="20">
        <f t="shared" ref="H4:P4" si="0">G4+1</f>
        <v>2</v>
      </c>
      <c r="I4" s="20">
        <f t="shared" si="0"/>
        <v>3</v>
      </c>
      <c r="J4" s="20">
        <f t="shared" si="0"/>
        <v>4</v>
      </c>
      <c r="K4" s="20">
        <f t="shared" si="0"/>
        <v>5</v>
      </c>
      <c r="L4" s="20">
        <f>+K4+1</f>
        <v>6</v>
      </c>
      <c r="M4" s="20">
        <f t="shared" si="0"/>
        <v>7</v>
      </c>
      <c r="N4" s="20">
        <f t="shared" si="0"/>
        <v>8</v>
      </c>
      <c r="O4" s="20">
        <f t="shared" si="0"/>
        <v>9</v>
      </c>
      <c r="P4" s="20">
        <f t="shared" si="0"/>
        <v>10</v>
      </c>
    </row>
    <row r="5" spans="1:81" ht="15" customHeight="1">
      <c r="B5" s="181"/>
      <c r="C5" s="18"/>
      <c r="G5" s="20" t="s">
        <v>16</v>
      </c>
      <c r="H5" s="20" t="s">
        <v>16</v>
      </c>
      <c r="I5" s="20" t="s">
        <v>16</v>
      </c>
      <c r="J5" s="20" t="s">
        <v>16</v>
      </c>
      <c r="K5" s="20" t="s">
        <v>16</v>
      </c>
      <c r="L5" s="19" t="s">
        <v>16</v>
      </c>
      <c r="M5" s="19" t="s">
        <v>16</v>
      </c>
      <c r="N5" s="20" t="s">
        <v>16</v>
      </c>
      <c r="O5" s="20" t="s">
        <v>16</v>
      </c>
      <c r="P5" s="20" t="s">
        <v>16</v>
      </c>
    </row>
    <row r="6" spans="1:81" ht="15" customHeight="1">
      <c r="B6" s="182"/>
      <c r="C6" s="21"/>
      <c r="E6" s="1" t="s">
        <v>17</v>
      </c>
      <c r="F6" s="1"/>
      <c r="G6" s="22">
        <f t="shared" ref="G6:P6" si="1">SUM(G9:G57)-SUM(G58:G110)+SUM(G118:G141)</f>
        <v>-758068.22108383104</v>
      </c>
      <c r="H6" s="22">
        <f t="shared" si="1"/>
        <v>-1991010</v>
      </c>
      <c r="I6" s="22">
        <f t="shared" ref="I6" si="2">SUM(I9:I57)-SUM(I58:I110)+SUM(I118:I141)</f>
        <v>21282106.455112655</v>
      </c>
      <c r="J6" s="22">
        <f>SUM(J9:J57)-SUM(J58:J110)+SUM(J118:J141)</f>
        <v>511382</v>
      </c>
      <c r="K6" s="22">
        <f>SUM(K9:K57)-SUM(K58:K110)+SUM(K118:K141)</f>
        <v>-29245</v>
      </c>
      <c r="L6" s="22">
        <f t="shared" si="1"/>
        <v>-2926949.1831405908</v>
      </c>
      <c r="M6" s="22">
        <f t="shared" si="1"/>
        <v>-3540020.2300000004</v>
      </c>
      <c r="N6" s="22">
        <f t="shared" si="1"/>
        <v>23957000</v>
      </c>
      <c r="O6" s="22">
        <f t="shared" ref="O6" si="3">SUM(O9:O57)-SUM(O58:O110)+SUM(O118:O141)</f>
        <v>-10300954.679999998</v>
      </c>
      <c r="P6" s="22">
        <f t="shared" si="1"/>
        <v>-5172759.0382017521</v>
      </c>
    </row>
    <row r="7" spans="1:81" ht="48" customHeight="1" thickBot="1">
      <c r="A7" s="247" t="s">
        <v>448</v>
      </c>
      <c r="B7" s="23" t="s">
        <v>18</v>
      </c>
      <c r="C7" s="231" t="s">
        <v>313</v>
      </c>
      <c r="D7" s="183" t="str">
        <f>'Rate Base'!F7</f>
        <v>Unadjusted</v>
      </c>
      <c r="E7" s="23" t="s">
        <v>1886</v>
      </c>
      <c r="F7" s="184" t="str">
        <f>'Rate Base'!H7</f>
        <v>Adjusted</v>
      </c>
      <c r="G7" s="25" t="str">
        <f>'Rate Base'!I7</f>
        <v>Accumulated Deferred Income Taxes</v>
      </c>
      <c r="H7" s="25" t="str">
        <f>'Rate Base'!J7</f>
        <v>Build-Out Adjustment</v>
      </c>
      <c r="I7" s="25" t="str">
        <f>'Rate Base'!K7</f>
        <v xml:space="preserve">Citizens Acquisition Discount </v>
      </c>
      <c r="J7" s="25" t="str">
        <f>'Rate Base'!L7</f>
        <v>Delayed Unitization</v>
      </c>
      <c r="K7" s="25" t="str">
        <f>'Rate Base'!M7</f>
        <v xml:space="preserve">Fortis Rate Base Adjustment </v>
      </c>
      <c r="L7" s="25" t="str">
        <f>'Rate Base'!N7</f>
        <v>Golden Valley Pipeline</v>
      </c>
      <c r="M7" s="25" t="str">
        <f>'Rate Base'!O7</f>
        <v>Griffith Plant</v>
      </c>
      <c r="N7" s="25" t="str">
        <f>'Rate Base'!P7</f>
        <v>Post-Test Year Plant</v>
      </c>
      <c r="O7" s="25" t="str">
        <f>'Rate Base'!Q7</f>
        <v>Southern Union Acquisition Premium</v>
      </c>
      <c r="P7" s="25" t="str">
        <f>'Rate Base'!R7</f>
        <v>Working Capital</v>
      </c>
    </row>
    <row r="8" spans="1:81" ht="12.75" customHeight="1" thickTop="1">
      <c r="A8" s="247"/>
      <c r="B8" s="185"/>
      <c r="C8" s="20"/>
      <c r="D8" s="186"/>
      <c r="E8" s="187"/>
      <c r="F8" s="188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81">
      <c r="A9" s="247"/>
      <c r="B9" s="189"/>
      <c r="C9" s="190" t="s">
        <v>273</v>
      </c>
      <c r="D9" s="191"/>
      <c r="E9" s="32"/>
      <c r="F9" s="192"/>
      <c r="G9" s="27"/>
      <c r="H9" s="27"/>
      <c r="I9" s="27"/>
      <c r="J9" s="27"/>
      <c r="K9" s="27"/>
      <c r="L9" s="27"/>
      <c r="M9" s="27"/>
      <c r="N9" s="27"/>
      <c r="O9" s="27"/>
      <c r="P9" s="27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</row>
    <row r="10" spans="1:81">
      <c r="A10" s="247"/>
      <c r="B10" s="189"/>
      <c r="C10" s="21" t="s">
        <v>133</v>
      </c>
      <c r="D10" s="191"/>
      <c r="E10" s="32"/>
      <c r="F10" s="31"/>
      <c r="G10" s="27"/>
      <c r="H10" s="27"/>
      <c r="I10" s="27"/>
      <c r="J10" s="27"/>
      <c r="K10" s="27"/>
      <c r="L10" s="27"/>
      <c r="M10" s="27"/>
      <c r="N10" s="27"/>
      <c r="O10" s="27"/>
      <c r="P10" s="27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</row>
    <row r="11" spans="1:81">
      <c r="A11" s="247" t="s">
        <v>369</v>
      </c>
      <c r="B11" s="189">
        <v>302</v>
      </c>
      <c r="C11" s="3" t="s">
        <v>99</v>
      </c>
      <c r="D11" s="193">
        <f>ROUND(SUM('Rate Base'!F11+'Rate Base (RCN)'!F11)/2,0)</f>
        <v>370542</v>
      </c>
      <c r="E11" s="27">
        <f>SUM(G11:P11)</f>
        <v>-20652</v>
      </c>
      <c r="F11" s="31">
        <f>D11+E11</f>
        <v>349890</v>
      </c>
      <c r="G11" s="27">
        <f>SUM('Rate Base'!I11+'Rate Base (RCN)'!I11)/2</f>
        <v>0</v>
      </c>
      <c r="H11" s="27">
        <f>SUM('Rate Base'!J11+'Rate Base (RCN)'!J11)/2</f>
        <v>0</v>
      </c>
      <c r="I11" s="27">
        <f>SUM('Rate Base'!K11+'Rate Base (RCN)'!K11)/2</f>
        <v>0</v>
      </c>
      <c r="J11" s="27">
        <f>SUM('Rate Base'!L11+'Rate Base (RCN)'!L11)/2</f>
        <v>0</v>
      </c>
      <c r="K11" s="27">
        <f>SUM('Rate Base'!M11+'Rate Base (RCN)'!M11)/2</f>
        <v>0</v>
      </c>
      <c r="L11" s="27">
        <f>SUM('Rate Base'!N11+'Rate Base (RCN)'!N11)/2</f>
        <v>0</v>
      </c>
      <c r="M11" s="27">
        <f>SUM('Rate Base'!O11+'Rate Base (RCN)'!O11)/2</f>
        <v>0</v>
      </c>
      <c r="N11" s="27">
        <f>SUM('Rate Base'!P11+'Rate Base (RCN)'!P11)/2</f>
        <v>0</v>
      </c>
      <c r="O11" s="27">
        <f>SUM('Rate Base'!Q11+'Rate Base (RCN)'!Q11)/2</f>
        <v>-20652</v>
      </c>
      <c r="P11" s="27">
        <f>SUM('Rate Base'!R11+'Rate Base (RCN)'!R11)/2</f>
        <v>0</v>
      </c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</row>
    <row r="12" spans="1:81">
      <c r="A12" s="247" t="s">
        <v>370</v>
      </c>
      <c r="B12" s="189">
        <v>303</v>
      </c>
      <c r="C12" s="3" t="s">
        <v>100</v>
      </c>
      <c r="D12" s="193">
        <f>ROUND(SUM('Rate Base'!F12+'Rate Base (RCN)'!F12)/2,0)</f>
        <v>85701</v>
      </c>
      <c r="E12" s="27">
        <f>SUM(G12:P12)</f>
        <v>1361035</v>
      </c>
      <c r="F12" s="31">
        <f>D12+E12</f>
        <v>1446736</v>
      </c>
      <c r="G12" s="27">
        <f>SUM('Rate Base'!I12+'Rate Base (RCN)'!I12)/2</f>
        <v>0</v>
      </c>
      <c r="H12" s="27">
        <f>SUM('Rate Base'!J12+'Rate Base (RCN)'!J12)/2</f>
        <v>0</v>
      </c>
      <c r="I12" s="27">
        <f>SUM('Rate Base'!K12+'Rate Base (RCN)'!K12)/2</f>
        <v>0</v>
      </c>
      <c r="J12" s="27">
        <f>SUM('Rate Base'!L12+'Rate Base (RCN)'!L12)/2</f>
        <v>0</v>
      </c>
      <c r="K12" s="27">
        <f>SUM('Rate Base'!M12+'Rate Base (RCN)'!M12)/2</f>
        <v>0</v>
      </c>
      <c r="L12" s="27">
        <f>SUM('Rate Base'!N12+'Rate Base (RCN)'!N12)/2</f>
        <v>0</v>
      </c>
      <c r="M12" s="27">
        <f>SUM('Rate Base'!O12+'Rate Base (RCN)'!O12)/2</f>
        <v>0</v>
      </c>
      <c r="N12" s="27">
        <f>SUM('Rate Base'!P12+'Rate Base (RCN)'!P12)/2</f>
        <v>1361035</v>
      </c>
      <c r="O12" s="27">
        <f>SUM('Rate Base'!Q12+'Rate Base (RCN)'!Q12)/2</f>
        <v>0</v>
      </c>
      <c r="P12" s="27">
        <f>SUM('Rate Base'!R12+'Rate Base (RCN)'!R12)/2</f>
        <v>0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</row>
    <row r="13" spans="1:81">
      <c r="A13" s="247"/>
      <c r="B13" s="189"/>
      <c r="C13" s="36" t="s">
        <v>260</v>
      </c>
      <c r="D13" s="194">
        <f>SUM(D11:D12)</f>
        <v>456243</v>
      </c>
      <c r="E13" s="195">
        <f>SUM(E11:E12)</f>
        <v>1340383</v>
      </c>
      <c r="F13" s="196">
        <f>SUM(F11:F12)</f>
        <v>1796626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</row>
    <row r="14" spans="1:81">
      <c r="A14" s="247"/>
      <c r="B14" s="189"/>
      <c r="C14" s="37"/>
      <c r="D14" s="198"/>
      <c r="E14" s="199"/>
      <c r="F14" s="200">
        <f>('Rate Base (RCN)'!H13+'Rate Base'!H13)/2</f>
        <v>1796626.4300000002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</row>
    <row r="15" spans="1:81">
      <c r="A15" s="247"/>
      <c r="B15" s="201"/>
      <c r="C15" s="21" t="s">
        <v>135</v>
      </c>
      <c r="D15" s="202"/>
      <c r="E15" s="203"/>
      <c r="F15" s="204"/>
      <c r="G15" s="27"/>
      <c r="H15" s="27"/>
      <c r="I15" s="27"/>
      <c r="J15" s="27"/>
      <c r="K15" s="27"/>
      <c r="L15" s="27"/>
      <c r="M15" s="27"/>
      <c r="N15" s="27"/>
      <c r="O15" s="27"/>
      <c r="P15" s="27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</row>
    <row r="16" spans="1:81">
      <c r="A16" s="247" t="s">
        <v>371</v>
      </c>
      <c r="B16" s="189">
        <v>365</v>
      </c>
      <c r="C16" s="3" t="s">
        <v>103</v>
      </c>
      <c r="D16" s="193">
        <f>ROUND(SUM('Rate Base'!F16+'Rate Base (RCN)'!F16)/2,0)</f>
        <v>102606</v>
      </c>
      <c r="E16" s="27">
        <f>SUM(G16:P16)</f>
        <v>-14473.42</v>
      </c>
      <c r="F16" s="31">
        <f>D16+E16</f>
        <v>88132.58</v>
      </c>
      <c r="G16" s="27">
        <f>SUM('Rate Base'!I16+'Rate Base (RCN)'!I16)/2</f>
        <v>0</v>
      </c>
      <c r="H16" s="27">
        <f>SUM('Rate Base'!J16+'Rate Base (RCN)'!J16)/2</f>
        <v>-4398</v>
      </c>
      <c r="I16" s="27">
        <f>SUM('Rate Base'!K16+'Rate Base (RCN)'!K16)/2</f>
        <v>0</v>
      </c>
      <c r="J16" s="27">
        <f>SUM('Rate Base'!L16+'Rate Base (RCN)'!L16)/2</f>
        <v>0</v>
      </c>
      <c r="K16" s="27">
        <f>SUM('Rate Base'!M16+'Rate Base (RCN)'!M16)/2</f>
        <v>0</v>
      </c>
      <c r="L16" s="27">
        <f>SUM('Rate Base'!N16+'Rate Base (RCN)'!N16)/2</f>
        <v>0</v>
      </c>
      <c r="M16" s="27">
        <f>SUM('Rate Base'!O16+'Rate Base (RCN)'!O16)/2</f>
        <v>-10075.42</v>
      </c>
      <c r="N16" s="27">
        <f>SUM('Rate Base'!P16+'Rate Base (RCN)'!P16)/2</f>
        <v>0</v>
      </c>
      <c r="O16" s="27">
        <f>SUM('Rate Base'!Q16+'Rate Base (RCN)'!Q16)/2</f>
        <v>0</v>
      </c>
      <c r="P16" s="27">
        <f>SUM('Rate Base'!R16+'Rate Base (RCN)'!R16)/2</f>
        <v>0</v>
      </c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</row>
    <row r="17" spans="1:16">
      <c r="A17" s="247" t="s">
        <v>372</v>
      </c>
      <c r="B17" s="189">
        <v>366</v>
      </c>
      <c r="C17" s="3" t="s">
        <v>104</v>
      </c>
      <c r="D17" s="193">
        <f>ROUND(SUM('Rate Base'!F17+'Rate Base (RCN)'!F17)/2,0)</f>
        <v>31650</v>
      </c>
      <c r="E17" s="27">
        <f>SUM(G17:P17)</f>
        <v>-927</v>
      </c>
      <c r="F17" s="31">
        <f>D17+E17</f>
        <v>30723</v>
      </c>
      <c r="G17" s="27">
        <f>SUM('Rate Base'!I17+'Rate Base (RCN)'!I17)/2</f>
        <v>0</v>
      </c>
      <c r="H17" s="27">
        <f>SUM('Rate Base'!J17+'Rate Base (RCN)'!J17)/2</f>
        <v>-927</v>
      </c>
      <c r="I17" s="27">
        <f>SUM('Rate Base'!K17+'Rate Base (RCN)'!K17)/2</f>
        <v>0</v>
      </c>
      <c r="J17" s="27">
        <f>SUM('Rate Base'!L17+'Rate Base (RCN)'!L17)/2</f>
        <v>0</v>
      </c>
      <c r="K17" s="27">
        <f>SUM('Rate Base'!M17+'Rate Base (RCN)'!M17)/2</f>
        <v>0</v>
      </c>
      <c r="L17" s="27">
        <f>SUM('Rate Base'!N17+'Rate Base (RCN)'!N17)/2</f>
        <v>0</v>
      </c>
      <c r="M17" s="27">
        <f>SUM('Rate Base'!O17+'Rate Base (RCN)'!O17)/2</f>
        <v>0</v>
      </c>
      <c r="N17" s="27">
        <f>SUM('Rate Base'!P17+'Rate Base (RCN)'!P17)/2</f>
        <v>0</v>
      </c>
      <c r="O17" s="27">
        <f>SUM('Rate Base'!Q17+'Rate Base (RCN)'!Q17)/2</f>
        <v>0</v>
      </c>
      <c r="P17" s="27">
        <f>SUM('Rate Base'!R17+'Rate Base (RCN)'!R17)/2</f>
        <v>0</v>
      </c>
    </row>
    <row r="18" spans="1:16">
      <c r="A18" s="247" t="s">
        <v>373</v>
      </c>
      <c r="B18" s="189">
        <v>367</v>
      </c>
      <c r="C18" s="3" t="s">
        <v>110</v>
      </c>
      <c r="D18" s="193">
        <f>ROUND(SUM('Rate Base'!F18+'Rate Base (RCN)'!F18)/2,0)</f>
        <v>41887179</v>
      </c>
      <c r="E18" s="27">
        <f>SUM(G18:P18)</f>
        <v>-4372069.9000000004</v>
      </c>
      <c r="F18" s="31">
        <f>D18+E18</f>
        <v>37515109.100000001</v>
      </c>
      <c r="G18" s="27">
        <f>SUM('Rate Base'!I18+'Rate Base (RCN)'!I18)/2</f>
        <v>0</v>
      </c>
      <c r="H18" s="27">
        <f>SUM('Rate Base'!J18+'Rate Base (RCN)'!J18)/2</f>
        <v>-951045</v>
      </c>
      <c r="I18" s="27">
        <f>SUM('Rate Base'!K18+'Rate Base (RCN)'!K18)/2</f>
        <v>0</v>
      </c>
      <c r="J18" s="27">
        <f>SUM('Rate Base'!L18+'Rate Base (RCN)'!L18)/2</f>
        <v>0</v>
      </c>
      <c r="K18" s="27">
        <f>SUM('Rate Base'!M18+'Rate Base (RCN)'!M18)/2</f>
        <v>0</v>
      </c>
      <c r="L18" s="27">
        <f>SUM('Rate Base'!N18+'Rate Base (RCN)'!N18)/2</f>
        <v>0</v>
      </c>
      <c r="M18" s="27">
        <f>SUM('Rate Base'!O18+'Rate Base (RCN)'!O18)/2</f>
        <v>-3421024.9</v>
      </c>
      <c r="N18" s="27">
        <f>SUM('Rate Base'!P18+'Rate Base (RCN)'!P18)/2</f>
        <v>0</v>
      </c>
      <c r="O18" s="27">
        <f>SUM('Rate Base'!Q18+'Rate Base (RCN)'!Q18)/2</f>
        <v>0</v>
      </c>
      <c r="P18" s="27">
        <f>SUM('Rate Base'!R18+'Rate Base (RCN)'!R18)/2</f>
        <v>0</v>
      </c>
    </row>
    <row r="19" spans="1:16">
      <c r="A19" s="247" t="s">
        <v>374</v>
      </c>
      <c r="B19" s="189">
        <v>369</v>
      </c>
      <c r="C19" s="3" t="s">
        <v>106</v>
      </c>
      <c r="D19" s="193">
        <f>ROUND(SUM('Rate Base'!F19+'Rate Base (RCN)'!F19)/2,0)</f>
        <v>7079822</v>
      </c>
      <c r="E19" s="27">
        <f>SUM(G19:P19)</f>
        <v>-2591944.15</v>
      </c>
      <c r="F19" s="31">
        <f>D19+E19</f>
        <v>4487877.8499999996</v>
      </c>
      <c r="G19" s="27">
        <f>SUM('Rate Base'!I19+'Rate Base (RCN)'!I19)/2</f>
        <v>0</v>
      </c>
      <c r="H19" s="27">
        <f>SUM('Rate Base'!J19+'Rate Base (RCN)'!J19)/2</f>
        <v>-148343</v>
      </c>
      <c r="I19" s="27">
        <f>SUM('Rate Base'!K19+'Rate Base (RCN)'!K19)/2</f>
        <v>0</v>
      </c>
      <c r="J19" s="27">
        <f>SUM('Rate Base'!L19+'Rate Base (RCN)'!L19)/2</f>
        <v>0</v>
      </c>
      <c r="K19" s="27">
        <f>SUM('Rate Base'!M19+'Rate Base (RCN)'!M19)/2</f>
        <v>0</v>
      </c>
      <c r="L19" s="27">
        <f>SUM('Rate Base'!N19+'Rate Base (RCN)'!N19)/2</f>
        <v>0</v>
      </c>
      <c r="M19" s="27">
        <f>SUM('Rate Base'!O19+'Rate Base (RCN)'!O19)/2</f>
        <v>-2443601.15</v>
      </c>
      <c r="N19" s="27">
        <f>SUM('Rate Base'!P19+'Rate Base (RCN)'!P19)/2</f>
        <v>0</v>
      </c>
      <c r="O19" s="27">
        <f>SUM('Rate Base'!Q19+'Rate Base (RCN)'!Q19)/2</f>
        <v>0</v>
      </c>
      <c r="P19" s="27">
        <f>SUM('Rate Base'!R19+'Rate Base (RCN)'!R19)/2</f>
        <v>0</v>
      </c>
    </row>
    <row r="20" spans="1:16">
      <c r="A20" s="247" t="s">
        <v>375</v>
      </c>
      <c r="B20" s="205">
        <v>371</v>
      </c>
      <c r="C20" s="3" t="s">
        <v>107</v>
      </c>
      <c r="D20" s="193">
        <f>ROUND(SUM('Rate Base'!F20+'Rate Base (RCN)'!F20)/2,0)</f>
        <v>183581</v>
      </c>
      <c r="E20" s="27">
        <f>SUM(G20:P20)</f>
        <v>-183581.23</v>
      </c>
      <c r="F20" s="31">
        <f>D20+E20</f>
        <v>-0.23000000001047738</v>
      </c>
      <c r="G20" s="27">
        <f>SUM('Rate Base'!I20+'Rate Base (RCN)'!I20)/2</f>
        <v>0</v>
      </c>
      <c r="H20" s="27">
        <f>SUM('Rate Base'!J20+'Rate Base (RCN)'!J20)/2</f>
        <v>0</v>
      </c>
      <c r="I20" s="27">
        <f>SUM('Rate Base'!K20+'Rate Base (RCN)'!K20)/2</f>
        <v>0</v>
      </c>
      <c r="J20" s="27">
        <f>SUM('Rate Base'!L20+'Rate Base (RCN)'!L20)/2</f>
        <v>0</v>
      </c>
      <c r="K20" s="27">
        <f>SUM('Rate Base'!M20+'Rate Base (RCN)'!M20)/2</f>
        <v>0</v>
      </c>
      <c r="L20" s="27">
        <f>SUM('Rate Base'!N20+'Rate Base (RCN)'!N20)/2</f>
        <v>0</v>
      </c>
      <c r="M20" s="27">
        <f>SUM('Rate Base'!O20+'Rate Base (RCN)'!O20)/2</f>
        <v>-183581.23</v>
      </c>
      <c r="N20" s="27">
        <f>SUM('Rate Base'!P20+'Rate Base (RCN)'!P20)/2</f>
        <v>0</v>
      </c>
      <c r="O20" s="27">
        <f>SUM('Rate Base'!Q20+'Rate Base (RCN)'!Q20)/2</f>
        <v>0</v>
      </c>
      <c r="P20" s="27">
        <f>SUM('Rate Base'!R20+'Rate Base (RCN)'!R20)/2</f>
        <v>0</v>
      </c>
    </row>
    <row r="21" spans="1:16">
      <c r="A21" s="247"/>
      <c r="B21" s="206"/>
      <c r="C21" s="36" t="s">
        <v>261</v>
      </c>
      <c r="D21" s="194">
        <f>SUM(D16:D20)</f>
        <v>49284838</v>
      </c>
      <c r="E21" s="207">
        <f>SUM(E16:E20)</f>
        <v>-7162995.7000000011</v>
      </c>
      <c r="F21" s="196">
        <f>SUM(F16:F20)</f>
        <v>42121842.300000004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>
      <c r="A22" s="247"/>
      <c r="B22" s="206"/>
      <c r="C22" s="37"/>
      <c r="D22" s="198"/>
      <c r="E22" s="199"/>
      <c r="F22" s="200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1:16">
      <c r="A23" s="247"/>
      <c r="B23" s="206"/>
      <c r="C23" s="21" t="s">
        <v>136</v>
      </c>
      <c r="D23" s="191"/>
      <c r="E23" s="197"/>
      <c r="F23" s="192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>
      <c r="A24" s="247" t="s">
        <v>376</v>
      </c>
      <c r="B24" s="205">
        <v>374</v>
      </c>
      <c r="C24" s="3" t="s">
        <v>103</v>
      </c>
      <c r="D24" s="193">
        <f>ROUND(SUM('Rate Base'!F24+'Rate Base (RCN)'!F24)/2,0)</f>
        <v>453006</v>
      </c>
      <c r="E24" s="27">
        <f t="shared" ref="E24:E35" si="4">SUM(G24:P24)</f>
        <v>-4356</v>
      </c>
      <c r="F24" s="31">
        <f t="shared" ref="F24:F35" si="5">D24+E24</f>
        <v>448650</v>
      </c>
      <c r="G24" s="27">
        <f>SUM('Rate Base'!I24+'Rate Base (RCN)'!I24)/2</f>
        <v>0</v>
      </c>
      <c r="H24" s="27">
        <f>SUM('Rate Base'!J24+'Rate Base (RCN)'!J24)/2</f>
        <v>-19413</v>
      </c>
      <c r="I24" s="27">
        <f>SUM('Rate Base'!K24+'Rate Base (RCN)'!K24)/2</f>
        <v>0</v>
      </c>
      <c r="J24" s="27">
        <f>SUM('Rate Base'!L24+'Rate Base (RCN)'!L24)/2</f>
        <v>0</v>
      </c>
      <c r="K24" s="27">
        <f>SUM('Rate Base'!M24+'Rate Base (RCN)'!M24)/2</f>
        <v>0</v>
      </c>
      <c r="L24" s="27">
        <f>SUM('Rate Base'!N24+'Rate Base (RCN)'!N24)/2</f>
        <v>0</v>
      </c>
      <c r="M24" s="27">
        <f>SUM('Rate Base'!O24+'Rate Base (RCN)'!O24)/2</f>
        <v>0</v>
      </c>
      <c r="N24" s="27">
        <f>SUM('Rate Base'!P24+'Rate Base (RCN)'!P24)/2</f>
        <v>15057</v>
      </c>
      <c r="O24" s="27">
        <f>SUM('Rate Base'!Q24+'Rate Base (RCN)'!Q24)/2</f>
        <v>0</v>
      </c>
      <c r="P24" s="27">
        <f>SUM('Rate Base'!R24+'Rate Base (RCN)'!R24)/2</f>
        <v>0</v>
      </c>
    </row>
    <row r="25" spans="1:16">
      <c r="A25" s="247" t="s">
        <v>377</v>
      </c>
      <c r="B25" s="189">
        <f>+B24+1</f>
        <v>375</v>
      </c>
      <c r="C25" s="3" t="s">
        <v>104</v>
      </c>
      <c r="D25" s="193">
        <f>ROUND(SUM('Rate Base'!F25+'Rate Base (RCN)'!F25)/2,0)</f>
        <v>193687</v>
      </c>
      <c r="E25" s="27">
        <f t="shared" si="4"/>
        <v>18803</v>
      </c>
      <c r="F25" s="31">
        <f t="shared" si="5"/>
        <v>212490</v>
      </c>
      <c r="G25" s="27">
        <f>SUM('Rate Base'!I25+'Rate Base (RCN)'!I25)/2</f>
        <v>0</v>
      </c>
      <c r="H25" s="27">
        <f>SUM('Rate Base'!J25+'Rate Base (RCN)'!J25)/2</f>
        <v>-6994</v>
      </c>
      <c r="I25" s="27">
        <f>SUM('Rate Base'!K25+'Rate Base (RCN)'!K25)/2</f>
        <v>0</v>
      </c>
      <c r="J25" s="27">
        <f>SUM('Rate Base'!L25+'Rate Base (RCN)'!L25)/2</f>
        <v>0</v>
      </c>
      <c r="K25" s="27">
        <f>SUM('Rate Base'!M25+'Rate Base (RCN)'!M25)/2</f>
        <v>0</v>
      </c>
      <c r="L25" s="27">
        <f>SUM('Rate Base'!N25+'Rate Base (RCN)'!N25)/2</f>
        <v>0</v>
      </c>
      <c r="M25" s="27">
        <f>SUM('Rate Base'!O25+'Rate Base (RCN)'!O25)/2</f>
        <v>0</v>
      </c>
      <c r="N25" s="27">
        <f>SUM('Rate Base'!P25+'Rate Base (RCN)'!P25)/2</f>
        <v>25797</v>
      </c>
      <c r="O25" s="27">
        <f>SUM('Rate Base'!Q25+'Rate Base (RCN)'!Q25)/2</f>
        <v>0</v>
      </c>
      <c r="P25" s="27">
        <f>SUM('Rate Base'!R25+'Rate Base (RCN)'!R25)/2</f>
        <v>0</v>
      </c>
    </row>
    <row r="26" spans="1:16">
      <c r="A26" s="247" t="s">
        <v>378</v>
      </c>
      <c r="B26" s="189">
        <f>+B25+1</f>
        <v>376</v>
      </c>
      <c r="C26" s="3" t="s">
        <v>110</v>
      </c>
      <c r="D26" s="193">
        <f>ROUND(SUM('Rate Base'!F26+'Rate Base (RCN)'!F26)/2,0)</f>
        <v>482741859</v>
      </c>
      <c r="E26" s="27">
        <f t="shared" si="4"/>
        <v>-16789057.573144499</v>
      </c>
      <c r="F26" s="31">
        <f t="shared" si="5"/>
        <v>465952801.4268555</v>
      </c>
      <c r="G26" s="27">
        <f>SUM('Rate Base'!I26+'Rate Base (RCN)'!I26)/2</f>
        <v>0</v>
      </c>
      <c r="H26" s="27">
        <f>SUM('Rate Base'!J26+'Rate Base (RCN)'!J26)/2</f>
        <v>-11122406</v>
      </c>
      <c r="I26" s="27">
        <f>SUM('Rate Base'!K26+'Rate Base (RCN)'!K26)/2</f>
        <v>0</v>
      </c>
      <c r="J26" s="27">
        <f>SUM('Rate Base'!L26+'Rate Base (RCN)'!L26)/2</f>
        <v>223153</v>
      </c>
      <c r="K26" s="27">
        <f>SUM('Rate Base'!M26+'Rate Base (RCN)'!M26)/2</f>
        <v>0</v>
      </c>
      <c r="L26" s="27">
        <f>SUM('Rate Base'!N26+'Rate Base (RCN)'!N26)/2</f>
        <v>-3327244.1231445004</v>
      </c>
      <c r="M26" s="27">
        <f>SUM('Rate Base'!O26+'Rate Base (RCN)'!O26)/2</f>
        <v>0</v>
      </c>
      <c r="N26" s="27">
        <f>SUM('Rate Base'!P26+'Rate Base (RCN)'!P26)/2</f>
        <v>9425786</v>
      </c>
      <c r="O26" s="27">
        <f>SUM('Rate Base'!Q26+'Rate Base (RCN)'!Q26)/2</f>
        <v>-11988346.449999999</v>
      </c>
      <c r="P26" s="27">
        <f>SUM('Rate Base'!R26+'Rate Base (RCN)'!R26)/2</f>
        <v>0</v>
      </c>
    </row>
    <row r="27" spans="1:16">
      <c r="A27" s="247" t="s">
        <v>379</v>
      </c>
      <c r="B27" s="189">
        <v>378</v>
      </c>
      <c r="C27" s="3" t="s">
        <v>111</v>
      </c>
      <c r="D27" s="193">
        <f>ROUND(SUM('Rate Base'!F27+'Rate Base (RCN)'!F27)/2,0)</f>
        <v>10174653</v>
      </c>
      <c r="E27" s="27">
        <f t="shared" si="4"/>
        <v>-273307.15000000002</v>
      </c>
      <c r="F27" s="31">
        <f t="shared" si="5"/>
        <v>9901345.8499999996</v>
      </c>
      <c r="G27" s="27">
        <f>SUM('Rate Base'!I27+'Rate Base (RCN)'!I27)/2</f>
        <v>0</v>
      </c>
      <c r="H27" s="27">
        <f>SUM('Rate Base'!J27+'Rate Base (RCN)'!J27)/2</f>
        <v>-234187</v>
      </c>
      <c r="I27" s="27">
        <f>SUM('Rate Base'!K27+'Rate Base (RCN)'!K27)/2</f>
        <v>0</v>
      </c>
      <c r="J27" s="27">
        <f>SUM('Rate Base'!L27+'Rate Base (RCN)'!L27)/2</f>
        <v>9330</v>
      </c>
      <c r="K27" s="27">
        <f>SUM('Rate Base'!M27+'Rate Base (RCN)'!M27)/2</f>
        <v>0</v>
      </c>
      <c r="L27" s="27">
        <f>SUM('Rate Base'!N27+'Rate Base (RCN)'!N27)/2</f>
        <v>0</v>
      </c>
      <c r="M27" s="27">
        <f>SUM('Rate Base'!O27+'Rate Base (RCN)'!O27)/2</f>
        <v>0</v>
      </c>
      <c r="N27" s="27">
        <f>SUM('Rate Base'!P27+'Rate Base (RCN)'!P27)/2</f>
        <v>154988</v>
      </c>
      <c r="O27" s="27">
        <f>SUM('Rate Base'!Q27+'Rate Base (RCN)'!Q27)/2</f>
        <v>-203438.15</v>
      </c>
      <c r="P27" s="27">
        <f>SUM('Rate Base'!R27+'Rate Base (RCN)'!R27)/2</f>
        <v>0</v>
      </c>
    </row>
    <row r="28" spans="1:16">
      <c r="A28" s="247" t="s">
        <v>380</v>
      </c>
      <c r="B28" s="189">
        <f t="shared" ref="B28:B33" si="6">+B27+1</f>
        <v>379</v>
      </c>
      <c r="C28" s="3" t="s">
        <v>112</v>
      </c>
      <c r="D28" s="193">
        <f>ROUND(SUM('Rate Base'!F28+'Rate Base (RCN)'!F28)/2,0)</f>
        <v>10763212</v>
      </c>
      <c r="E28" s="27">
        <f t="shared" si="4"/>
        <v>-1407796.4814042002</v>
      </c>
      <c r="F28" s="31">
        <f t="shared" si="5"/>
        <v>9355415.5185957998</v>
      </c>
      <c r="G28" s="27">
        <f>SUM('Rate Base'!I28+'Rate Base (RCN)'!I28)/2</f>
        <v>0</v>
      </c>
      <c r="H28" s="27">
        <f>SUM('Rate Base'!J28+'Rate Base (RCN)'!J28)/2</f>
        <v>-252568</v>
      </c>
      <c r="I28" s="27">
        <f>SUM('Rate Base'!K28+'Rate Base (RCN)'!K28)/2</f>
        <v>0</v>
      </c>
      <c r="J28" s="27">
        <f>SUM('Rate Base'!L28+'Rate Base (RCN)'!L28)/2</f>
        <v>0</v>
      </c>
      <c r="K28" s="27">
        <f>SUM('Rate Base'!M28+'Rate Base (RCN)'!M28)/2</f>
        <v>0</v>
      </c>
      <c r="L28" s="27">
        <f>SUM('Rate Base'!N28+'Rate Base (RCN)'!N28)/2</f>
        <v>-1078864.9914042002</v>
      </c>
      <c r="M28" s="27">
        <f>SUM('Rate Base'!O28+'Rate Base (RCN)'!O28)/2</f>
        <v>0</v>
      </c>
      <c r="N28" s="27">
        <f>SUM('Rate Base'!P28+'Rate Base (RCN)'!P28)/2</f>
        <v>190472</v>
      </c>
      <c r="O28" s="27">
        <f>SUM('Rate Base'!Q28+'Rate Base (RCN)'!Q28)/2</f>
        <v>-266835.49</v>
      </c>
      <c r="P28" s="27">
        <f>SUM('Rate Base'!R28+'Rate Base (RCN)'!R28)/2</f>
        <v>0</v>
      </c>
    </row>
    <row r="29" spans="1:16">
      <c r="A29" s="247" t="s">
        <v>381</v>
      </c>
      <c r="B29" s="189">
        <f t="shared" si="6"/>
        <v>380</v>
      </c>
      <c r="C29" s="3" t="s">
        <v>113</v>
      </c>
      <c r="D29" s="193">
        <f>ROUND(SUM('Rate Base'!F29+'Rate Base (RCN)'!F29)/2,0)</f>
        <v>257071091</v>
      </c>
      <c r="E29" s="27">
        <f t="shared" si="4"/>
        <v>1113794.8599999999</v>
      </c>
      <c r="F29" s="31">
        <f t="shared" si="5"/>
        <v>258184885.86000001</v>
      </c>
      <c r="G29" s="27">
        <f>SUM('Rate Base'!I29+'Rate Base (RCN)'!I29)/2</f>
        <v>0</v>
      </c>
      <c r="H29" s="27">
        <f>SUM('Rate Base'!J29+'Rate Base (RCN)'!J29)/2</f>
        <v>0</v>
      </c>
      <c r="I29" s="27">
        <f>SUM('Rate Base'!K29+'Rate Base (RCN)'!K29)/2</f>
        <v>0</v>
      </c>
      <c r="J29" s="27">
        <f>SUM('Rate Base'!L29+'Rate Base (RCN)'!L29)/2</f>
        <v>3950</v>
      </c>
      <c r="K29" s="27">
        <f>SUM('Rate Base'!M29+'Rate Base (RCN)'!M29)/2</f>
        <v>-43555</v>
      </c>
      <c r="L29" s="27">
        <f>SUM('Rate Base'!N29+'Rate Base (RCN)'!N29)/2</f>
        <v>0</v>
      </c>
      <c r="M29" s="27">
        <f>SUM('Rate Base'!O29+'Rate Base (RCN)'!O29)/2</f>
        <v>0</v>
      </c>
      <c r="N29" s="27">
        <f>SUM('Rate Base'!P29+'Rate Base (RCN)'!P29)/2</f>
        <v>4800095</v>
      </c>
      <c r="O29" s="27">
        <f>SUM('Rate Base'!Q29+'Rate Base (RCN)'!Q29)/2</f>
        <v>-3646695.14</v>
      </c>
      <c r="P29" s="27">
        <f>SUM('Rate Base'!R29+'Rate Base (RCN)'!R29)/2</f>
        <v>0</v>
      </c>
    </row>
    <row r="30" spans="1:16">
      <c r="A30" s="247" t="s">
        <v>382</v>
      </c>
      <c r="B30" s="189">
        <f t="shared" si="6"/>
        <v>381</v>
      </c>
      <c r="C30" s="3" t="s">
        <v>114</v>
      </c>
      <c r="D30" s="193">
        <f>ROUND(SUM('Rate Base'!F30+'Rate Base (RCN)'!F30)/2,0)</f>
        <v>58592650</v>
      </c>
      <c r="E30" s="27">
        <f t="shared" si="4"/>
        <v>1020937.06</v>
      </c>
      <c r="F30" s="31">
        <f t="shared" si="5"/>
        <v>59613587.060000002</v>
      </c>
      <c r="G30" s="27">
        <f>SUM('Rate Base'!I30+'Rate Base (RCN)'!I30)/2</f>
        <v>0</v>
      </c>
      <c r="H30" s="27">
        <f>SUM('Rate Base'!J30+'Rate Base (RCN)'!J30)/2</f>
        <v>0</v>
      </c>
      <c r="I30" s="27">
        <f>SUM('Rate Base'!K30+'Rate Base (RCN)'!K30)/2</f>
        <v>0</v>
      </c>
      <c r="J30" s="27">
        <f>SUM('Rate Base'!L30+'Rate Base (RCN)'!L30)/2</f>
        <v>0</v>
      </c>
      <c r="K30" s="27">
        <f>SUM('Rate Base'!M30+'Rate Base (RCN)'!M30)/2</f>
        <v>0</v>
      </c>
      <c r="L30" s="27">
        <f>SUM('Rate Base'!N30+'Rate Base (RCN)'!N30)/2</f>
        <v>0</v>
      </c>
      <c r="M30" s="27">
        <f>SUM('Rate Base'!O30+'Rate Base (RCN)'!O30)/2</f>
        <v>0</v>
      </c>
      <c r="N30" s="27">
        <f>SUM('Rate Base'!P30+'Rate Base (RCN)'!P30)/2</f>
        <v>1867380</v>
      </c>
      <c r="O30" s="27">
        <f>SUM('Rate Base'!Q30+'Rate Base (RCN)'!Q30)/2</f>
        <v>-846442.94</v>
      </c>
      <c r="P30" s="27">
        <f>SUM('Rate Base'!R30+'Rate Base (RCN)'!R30)/2</f>
        <v>0</v>
      </c>
    </row>
    <row r="31" spans="1:16">
      <c r="A31" s="247" t="s">
        <v>383</v>
      </c>
      <c r="B31" s="189">
        <f t="shared" si="6"/>
        <v>382</v>
      </c>
      <c r="C31" s="3" t="s">
        <v>115</v>
      </c>
      <c r="D31" s="193">
        <f>ROUND(SUM('Rate Base'!F31+'Rate Base (RCN)'!F31)/2,0)</f>
        <v>29590043</v>
      </c>
      <c r="E31" s="27">
        <f t="shared" si="4"/>
        <v>731206.64</v>
      </c>
      <c r="F31" s="31">
        <f t="shared" si="5"/>
        <v>30321249.640000001</v>
      </c>
      <c r="G31" s="27">
        <f>SUM('Rate Base'!I31+'Rate Base (RCN)'!I31)/2</f>
        <v>0</v>
      </c>
      <c r="H31" s="27">
        <f>SUM('Rate Base'!J31+'Rate Base (RCN)'!J31)/2</f>
        <v>0</v>
      </c>
      <c r="I31" s="27">
        <f>SUM('Rate Base'!K31+'Rate Base (RCN)'!K31)/2</f>
        <v>0</v>
      </c>
      <c r="J31" s="27">
        <f>SUM('Rate Base'!L31+'Rate Base (RCN)'!L31)/2</f>
        <v>0</v>
      </c>
      <c r="K31" s="27">
        <f>SUM('Rate Base'!M31+'Rate Base (RCN)'!M31)/2</f>
        <v>0</v>
      </c>
      <c r="L31" s="27">
        <f>SUM('Rate Base'!N31+'Rate Base (RCN)'!N31)/2</f>
        <v>0</v>
      </c>
      <c r="M31" s="27">
        <f>SUM('Rate Base'!O31+'Rate Base (RCN)'!O31)/2</f>
        <v>0</v>
      </c>
      <c r="N31" s="27">
        <f>SUM('Rate Base'!P31+'Rate Base (RCN)'!P31)/2</f>
        <v>737309</v>
      </c>
      <c r="O31" s="27">
        <f>SUM('Rate Base'!Q31+'Rate Base (RCN)'!Q31)/2</f>
        <v>-6102.36</v>
      </c>
      <c r="P31" s="27">
        <f>SUM('Rate Base'!R31+'Rate Base (RCN)'!R31)/2</f>
        <v>0</v>
      </c>
    </row>
    <row r="32" spans="1:16">
      <c r="A32" s="247" t="s">
        <v>384</v>
      </c>
      <c r="B32" s="189">
        <f t="shared" si="6"/>
        <v>383</v>
      </c>
      <c r="C32" s="3" t="s">
        <v>116</v>
      </c>
      <c r="D32" s="193">
        <f>ROUND(SUM('Rate Base'!F32+'Rate Base (RCN)'!F32)/2,0)</f>
        <v>7769902</v>
      </c>
      <c r="E32" s="27">
        <f t="shared" si="4"/>
        <v>275475.33</v>
      </c>
      <c r="F32" s="31">
        <f t="shared" si="5"/>
        <v>8045377.3300000001</v>
      </c>
      <c r="G32" s="27">
        <f>SUM('Rate Base'!I32+'Rate Base (RCN)'!I32)/2</f>
        <v>0</v>
      </c>
      <c r="H32" s="27">
        <f>SUM('Rate Base'!J32+'Rate Base (RCN)'!J32)/2</f>
        <v>0</v>
      </c>
      <c r="I32" s="27">
        <f>SUM('Rate Base'!K32+'Rate Base (RCN)'!K32)/2</f>
        <v>0</v>
      </c>
      <c r="J32" s="27">
        <f>SUM('Rate Base'!L32+'Rate Base (RCN)'!L32)/2</f>
        <v>0</v>
      </c>
      <c r="K32" s="27">
        <f>SUM('Rate Base'!M32+'Rate Base (RCN)'!M32)/2</f>
        <v>0</v>
      </c>
      <c r="L32" s="27">
        <f>SUM('Rate Base'!N32+'Rate Base (RCN)'!N32)/2</f>
        <v>0</v>
      </c>
      <c r="M32" s="27">
        <f>SUM('Rate Base'!O32+'Rate Base (RCN)'!O32)/2</f>
        <v>0</v>
      </c>
      <c r="N32" s="27">
        <f>SUM('Rate Base'!P32+'Rate Base (RCN)'!P32)/2</f>
        <v>165650</v>
      </c>
      <c r="O32" s="27">
        <f>SUM('Rate Base'!Q32+'Rate Base (RCN)'!Q32)/2</f>
        <v>109825.33</v>
      </c>
      <c r="P32" s="27">
        <f>SUM('Rate Base'!R32+'Rate Base (RCN)'!R32)/2</f>
        <v>0</v>
      </c>
    </row>
    <row r="33" spans="1:16">
      <c r="A33" s="247" t="s">
        <v>385</v>
      </c>
      <c r="B33" s="189">
        <f t="shared" si="6"/>
        <v>384</v>
      </c>
      <c r="C33" s="3" t="s">
        <v>117</v>
      </c>
      <c r="D33" s="193">
        <f>ROUND(SUM('Rate Base'!F33+'Rate Base (RCN)'!F33)/2,0)</f>
        <v>7989245</v>
      </c>
      <c r="E33" s="27">
        <f t="shared" si="4"/>
        <v>198175</v>
      </c>
      <c r="F33" s="31">
        <f t="shared" si="5"/>
        <v>8187420</v>
      </c>
      <c r="G33" s="27">
        <f>SUM('Rate Base'!I33+'Rate Base (RCN)'!I33)/2</f>
        <v>0</v>
      </c>
      <c r="H33" s="27">
        <f>SUM('Rate Base'!J33+'Rate Base (RCN)'!J33)/2</f>
        <v>0</v>
      </c>
      <c r="I33" s="27">
        <f>SUM('Rate Base'!K33+'Rate Base (RCN)'!K33)/2</f>
        <v>0</v>
      </c>
      <c r="J33" s="27">
        <f>SUM('Rate Base'!L33+'Rate Base (RCN)'!L33)/2</f>
        <v>0</v>
      </c>
      <c r="K33" s="27">
        <f>SUM('Rate Base'!M33+'Rate Base (RCN)'!M33)/2</f>
        <v>0</v>
      </c>
      <c r="L33" s="27">
        <f>SUM('Rate Base'!N33+'Rate Base (RCN)'!N33)/2</f>
        <v>0</v>
      </c>
      <c r="M33" s="27">
        <f>SUM('Rate Base'!O33+'Rate Base (RCN)'!O33)/2</f>
        <v>0</v>
      </c>
      <c r="N33" s="27">
        <f>SUM('Rate Base'!P33+'Rate Base (RCN)'!P33)/2</f>
        <v>198175</v>
      </c>
      <c r="O33" s="27">
        <f>SUM('Rate Base'!Q33+'Rate Base (RCN)'!Q33)/2</f>
        <v>0</v>
      </c>
      <c r="P33" s="27">
        <f>SUM('Rate Base'!R33+'Rate Base (RCN)'!R33)/2</f>
        <v>0</v>
      </c>
    </row>
    <row r="34" spans="1:16">
      <c r="A34" s="247" t="s">
        <v>386</v>
      </c>
      <c r="B34" s="189">
        <v>385</v>
      </c>
      <c r="C34" s="3" t="s">
        <v>118</v>
      </c>
      <c r="D34" s="193">
        <f>ROUND(SUM('Rate Base'!F34+'Rate Base (RCN)'!F34)/2,0)</f>
        <v>2947402</v>
      </c>
      <c r="E34" s="27">
        <f t="shared" si="4"/>
        <v>-210420.37</v>
      </c>
      <c r="F34" s="31">
        <f t="shared" si="5"/>
        <v>2736981.63</v>
      </c>
      <c r="G34" s="27">
        <f>SUM('Rate Base'!I34+'Rate Base (RCN)'!I34)/2</f>
        <v>0</v>
      </c>
      <c r="H34" s="27">
        <f>SUM('Rate Base'!J34+'Rate Base (RCN)'!J34)/2</f>
        <v>0</v>
      </c>
      <c r="I34" s="27">
        <f>SUM('Rate Base'!K34+'Rate Base (RCN)'!K34)/2</f>
        <v>0</v>
      </c>
      <c r="J34" s="27">
        <f>SUM('Rate Base'!L34+'Rate Base (RCN)'!L34)/2</f>
        <v>0</v>
      </c>
      <c r="K34" s="27">
        <f>SUM('Rate Base'!M34+'Rate Base (RCN)'!M34)/2</f>
        <v>0</v>
      </c>
      <c r="L34" s="27">
        <f>SUM('Rate Base'!N34+'Rate Base (RCN)'!N34)/2</f>
        <v>0</v>
      </c>
      <c r="M34" s="27">
        <f>SUM('Rate Base'!O34+'Rate Base (RCN)'!O34)/2</f>
        <v>-12609.37</v>
      </c>
      <c r="N34" s="27">
        <f>SUM('Rate Base'!P34+'Rate Base (RCN)'!P34)/2</f>
        <v>74556</v>
      </c>
      <c r="O34" s="27">
        <f>SUM('Rate Base'!Q34+'Rate Base (RCN)'!Q34)/2</f>
        <v>-272367</v>
      </c>
      <c r="P34" s="27">
        <f>SUM('Rate Base'!R34+'Rate Base (RCN)'!R34)/2</f>
        <v>0</v>
      </c>
    </row>
    <row r="35" spans="1:16">
      <c r="A35" s="247" t="s">
        <v>387</v>
      </c>
      <c r="B35" s="189">
        <v>387</v>
      </c>
      <c r="C35" s="3" t="s">
        <v>107</v>
      </c>
      <c r="D35" s="193">
        <f>ROUND(SUM('Rate Base'!F35+'Rate Base (RCN)'!F35)/2,0)</f>
        <v>2351690</v>
      </c>
      <c r="E35" s="27">
        <f t="shared" si="4"/>
        <v>-304375</v>
      </c>
      <c r="F35" s="31">
        <f t="shared" si="5"/>
        <v>2047315</v>
      </c>
      <c r="G35" s="27">
        <f>SUM('Rate Base'!I35+'Rate Base (RCN)'!I35)/2</f>
        <v>0</v>
      </c>
      <c r="H35" s="27">
        <f>SUM('Rate Base'!J35+'Rate Base (RCN)'!J35)/2</f>
        <v>-100809</v>
      </c>
      <c r="I35" s="27">
        <f>SUM('Rate Base'!K35+'Rate Base (RCN)'!K35)/2</f>
        <v>0</v>
      </c>
      <c r="J35" s="27">
        <f>SUM('Rate Base'!L35+'Rate Base (RCN)'!L35)/2</f>
        <v>0</v>
      </c>
      <c r="K35" s="27">
        <f>SUM('Rate Base'!M35+'Rate Base (RCN)'!M35)/2</f>
        <v>0</v>
      </c>
      <c r="L35" s="27">
        <f>SUM('Rate Base'!N35+'Rate Base (RCN)'!N35)/2</f>
        <v>0</v>
      </c>
      <c r="M35" s="27">
        <f>SUM('Rate Base'!O35+'Rate Base (RCN)'!O35)/2</f>
        <v>0</v>
      </c>
      <c r="N35" s="27">
        <f>SUM('Rate Base'!P35+'Rate Base (RCN)'!P35)/2</f>
        <v>-370</v>
      </c>
      <c r="O35" s="27">
        <f>SUM('Rate Base'!Q35+'Rate Base (RCN)'!Q35)/2</f>
        <v>-203196</v>
      </c>
      <c r="P35" s="27">
        <f>SUM('Rate Base'!R35+'Rate Base (RCN)'!R35)/2</f>
        <v>0</v>
      </c>
    </row>
    <row r="36" spans="1:16">
      <c r="A36" s="247"/>
      <c r="B36" s="206"/>
      <c r="C36" s="36" t="s">
        <v>262</v>
      </c>
      <c r="D36" s="194">
        <f>SUM(D24:D35)</f>
        <v>870638440</v>
      </c>
      <c r="E36" s="195">
        <f>SUM(E24:E35)</f>
        <v>-15630920.684548697</v>
      </c>
      <c r="F36" s="196">
        <f>SUM(F24:F35)</f>
        <v>855007519.31545126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</row>
    <row r="37" spans="1:16">
      <c r="A37" s="247"/>
      <c r="B37" s="206"/>
      <c r="C37" s="21"/>
      <c r="D37" s="404"/>
      <c r="E37" s="209"/>
      <c r="F37" s="200"/>
      <c r="G37" s="27"/>
      <c r="H37" s="27"/>
      <c r="I37" s="27"/>
      <c r="J37" s="27"/>
      <c r="K37" s="27"/>
      <c r="L37" s="27"/>
      <c r="M37" s="27"/>
      <c r="N37" s="27"/>
      <c r="O37" s="27"/>
      <c r="P37" s="27"/>
    </row>
    <row r="38" spans="1:16">
      <c r="A38" s="247"/>
      <c r="B38" s="206"/>
      <c r="C38" s="21" t="s">
        <v>137</v>
      </c>
      <c r="D38" s="191"/>
      <c r="E38" s="197"/>
      <c r="F38" s="192"/>
      <c r="G38" s="27"/>
      <c r="H38" s="27"/>
      <c r="I38" s="27"/>
      <c r="J38" s="27"/>
      <c r="K38" s="27"/>
      <c r="L38" s="27"/>
      <c r="M38" s="27"/>
      <c r="N38" s="27"/>
      <c r="O38" s="27"/>
      <c r="P38" s="27"/>
    </row>
    <row r="39" spans="1:16">
      <c r="A39" s="247" t="s">
        <v>388</v>
      </c>
      <c r="B39" s="189">
        <v>389</v>
      </c>
      <c r="C39" s="3" t="s">
        <v>121</v>
      </c>
      <c r="D39" s="193">
        <f>ROUND(SUM('Rate Base'!F39+'Rate Base (RCN)'!F39)/2,0)</f>
        <v>1681511</v>
      </c>
      <c r="E39" s="27">
        <f t="shared" ref="E39:E48" si="7">SUM(G39:P39)</f>
        <v>-133238.22</v>
      </c>
      <c r="F39" s="31">
        <f t="shared" ref="F39:F48" si="8">D39+E39</f>
        <v>1548272.78</v>
      </c>
      <c r="G39" s="27">
        <f>SUM('Rate Base'!I39+'Rate Base (RCN)'!I39)/2</f>
        <v>0</v>
      </c>
      <c r="H39" s="27">
        <f>SUM('Rate Base'!J39+'Rate Base (RCN)'!J39)/2</f>
        <v>0</v>
      </c>
      <c r="I39" s="27">
        <f>SUM('Rate Base'!K39+'Rate Base (RCN)'!K39)/2</f>
        <v>0</v>
      </c>
      <c r="J39" s="27">
        <f>SUM('Rate Base'!L39+'Rate Base (RCN)'!L39)/2</f>
        <v>0</v>
      </c>
      <c r="K39" s="27">
        <f>SUM('Rate Base'!M39+'Rate Base (RCN)'!M39)/2</f>
        <v>0</v>
      </c>
      <c r="L39" s="27">
        <f>SUM('Rate Base'!N39+'Rate Base (RCN)'!N39)/2</f>
        <v>0</v>
      </c>
      <c r="M39" s="27">
        <f>SUM('Rate Base'!O39+'Rate Base (RCN)'!O39)/2</f>
        <v>0</v>
      </c>
      <c r="N39" s="27">
        <f>SUM('Rate Base'!P39+'Rate Base (RCN)'!P39)/2</f>
        <v>0</v>
      </c>
      <c r="O39" s="27">
        <f>SUM('Rate Base'!Q39+'Rate Base (RCN)'!Q39)/2</f>
        <v>-133238.22</v>
      </c>
      <c r="P39" s="27">
        <f>SUM('Rate Base'!R39+'Rate Base (RCN)'!R39)/2</f>
        <v>0</v>
      </c>
    </row>
    <row r="40" spans="1:16">
      <c r="A40" s="247" t="s">
        <v>389</v>
      </c>
      <c r="B40" s="189">
        <v>390</v>
      </c>
      <c r="C40" s="3" t="s">
        <v>104</v>
      </c>
      <c r="D40" s="193">
        <f>ROUND(SUM('Rate Base'!F40+'Rate Base (RCN)'!F40)/2,0)</f>
        <v>26939136</v>
      </c>
      <c r="E40" s="27">
        <f t="shared" si="7"/>
        <v>618596</v>
      </c>
      <c r="F40" s="31">
        <f t="shared" si="8"/>
        <v>27557732</v>
      </c>
      <c r="G40" s="27">
        <f>SUM('Rate Base'!I40+'Rate Base (RCN)'!I40)/2</f>
        <v>0</v>
      </c>
      <c r="H40" s="27">
        <f>SUM('Rate Base'!J40+'Rate Base (RCN)'!J40)/2</f>
        <v>0</v>
      </c>
      <c r="I40" s="27">
        <f>SUM('Rate Base'!K40+'Rate Base (RCN)'!K40)/2</f>
        <v>0</v>
      </c>
      <c r="J40" s="27">
        <f>SUM('Rate Base'!L40+'Rate Base (RCN)'!L40)/2</f>
        <v>626</v>
      </c>
      <c r="K40" s="27">
        <f>SUM('Rate Base'!M40+'Rate Base (RCN)'!M40)/2</f>
        <v>0</v>
      </c>
      <c r="L40" s="27">
        <f>SUM('Rate Base'!N40+'Rate Base (RCN)'!N40)/2</f>
        <v>0</v>
      </c>
      <c r="M40" s="27">
        <f>SUM('Rate Base'!O40+'Rate Base (RCN)'!O40)/2</f>
        <v>0</v>
      </c>
      <c r="N40" s="27">
        <f>SUM('Rate Base'!P40+'Rate Base (RCN)'!P40)/2</f>
        <v>791434</v>
      </c>
      <c r="O40" s="27">
        <f>SUM('Rate Base'!Q40+'Rate Base (RCN)'!Q40)/2</f>
        <v>-173464</v>
      </c>
      <c r="P40" s="27">
        <f>SUM('Rate Base'!R40+'Rate Base (RCN)'!R40)/2</f>
        <v>0</v>
      </c>
    </row>
    <row r="41" spans="1:16">
      <c r="A41" s="247" t="s">
        <v>390</v>
      </c>
      <c r="B41" s="189">
        <v>391</v>
      </c>
      <c r="C41" s="3" t="s">
        <v>122</v>
      </c>
      <c r="D41" s="193">
        <f>ROUND(SUM('Rate Base'!F41+'Rate Base (RCN)'!F41)/2,0)</f>
        <v>5075595</v>
      </c>
      <c r="E41" s="27">
        <f t="shared" si="7"/>
        <v>769776</v>
      </c>
      <c r="F41" s="31">
        <f t="shared" si="8"/>
        <v>5845371</v>
      </c>
      <c r="G41" s="27">
        <f>SUM('Rate Base'!I41+'Rate Base (RCN)'!I41)/2</f>
        <v>0</v>
      </c>
      <c r="H41" s="27">
        <f>SUM('Rate Base'!J41+'Rate Base (RCN)'!J41)/2</f>
        <v>0</v>
      </c>
      <c r="I41" s="27">
        <f>SUM('Rate Base'!K41+'Rate Base (RCN)'!K41)/2</f>
        <v>0</v>
      </c>
      <c r="J41" s="27">
        <f>SUM('Rate Base'!L41+'Rate Base (RCN)'!L41)/2</f>
        <v>0</v>
      </c>
      <c r="K41" s="27">
        <f>SUM('Rate Base'!M41+'Rate Base (RCN)'!M41)/2</f>
        <v>0</v>
      </c>
      <c r="L41" s="27">
        <f>SUM('Rate Base'!N41+'Rate Base (RCN)'!N41)/2</f>
        <v>0</v>
      </c>
      <c r="M41" s="27">
        <f>SUM('Rate Base'!O41+'Rate Base (RCN)'!O41)/2</f>
        <v>0</v>
      </c>
      <c r="N41" s="27">
        <f>SUM('Rate Base'!P41+'Rate Base (RCN)'!P41)/2</f>
        <v>769776</v>
      </c>
      <c r="O41" s="27">
        <f>SUM('Rate Base'!Q41+'Rate Base (RCN)'!Q41)/2</f>
        <v>0</v>
      </c>
      <c r="P41" s="27">
        <f>SUM('Rate Base'!R41+'Rate Base (RCN)'!R41)/2</f>
        <v>0</v>
      </c>
    </row>
    <row r="42" spans="1:16">
      <c r="A42" s="247" t="s">
        <v>391</v>
      </c>
      <c r="B42" s="189">
        <v>392</v>
      </c>
      <c r="C42" s="3" t="s">
        <v>123</v>
      </c>
      <c r="D42" s="193">
        <f>ROUND(SUM('Rate Base'!F42+'Rate Base (RCN)'!F42)/2,0)</f>
        <v>14566588</v>
      </c>
      <c r="E42" s="27">
        <f t="shared" si="7"/>
        <v>3219866</v>
      </c>
      <c r="F42" s="31">
        <f t="shared" si="8"/>
        <v>17786454</v>
      </c>
      <c r="G42" s="27">
        <f>SUM('Rate Base'!I42+'Rate Base (RCN)'!I42)/2</f>
        <v>0</v>
      </c>
      <c r="H42" s="27">
        <f>SUM('Rate Base'!J42+'Rate Base (RCN)'!J42)/2</f>
        <v>0</v>
      </c>
      <c r="I42" s="27">
        <f>SUM('Rate Base'!K42+'Rate Base (RCN)'!K42)/2</f>
        <v>0</v>
      </c>
      <c r="J42" s="27">
        <f>SUM('Rate Base'!L42+'Rate Base (RCN)'!L42)/2</f>
        <v>275872</v>
      </c>
      <c r="K42" s="27">
        <f>SUM('Rate Base'!M42+'Rate Base (RCN)'!M42)/2</f>
        <v>0</v>
      </c>
      <c r="L42" s="27">
        <f>SUM('Rate Base'!N42+'Rate Base (RCN)'!N42)/2</f>
        <v>0</v>
      </c>
      <c r="M42" s="27">
        <f>SUM('Rate Base'!O42+'Rate Base (RCN)'!O42)/2</f>
        <v>0</v>
      </c>
      <c r="N42" s="27">
        <f>SUM('Rate Base'!P42+'Rate Base (RCN)'!P42)/2</f>
        <v>2943994</v>
      </c>
      <c r="O42" s="27">
        <f>SUM('Rate Base'!Q42+'Rate Base (RCN)'!Q42)/2</f>
        <v>0</v>
      </c>
      <c r="P42" s="27">
        <f>SUM('Rate Base'!R42+'Rate Base (RCN)'!R42)/2</f>
        <v>0</v>
      </c>
    </row>
    <row r="43" spans="1:16">
      <c r="A43" s="247" t="s">
        <v>392</v>
      </c>
      <c r="B43" s="189">
        <v>393</v>
      </c>
      <c r="C43" s="3" t="s">
        <v>124</v>
      </c>
      <c r="D43" s="193">
        <f>ROUND(SUM('Rate Base'!F43+'Rate Base (RCN)'!F43)/2,0)</f>
        <v>359295</v>
      </c>
      <c r="E43" s="27">
        <f t="shared" si="7"/>
        <v>-26148.49</v>
      </c>
      <c r="F43" s="31">
        <f t="shared" si="8"/>
        <v>333146.51</v>
      </c>
      <c r="G43" s="27">
        <f>SUM('Rate Base'!I43+'Rate Base (RCN)'!I43)/2</f>
        <v>0</v>
      </c>
      <c r="H43" s="27">
        <f>SUM('Rate Base'!J43+'Rate Base (RCN)'!J43)/2</f>
        <v>0</v>
      </c>
      <c r="I43" s="27">
        <f>SUM('Rate Base'!K43+'Rate Base (RCN)'!K43)/2</f>
        <v>0</v>
      </c>
      <c r="J43" s="27">
        <f>SUM('Rate Base'!L43+'Rate Base (RCN)'!L43)/2</f>
        <v>0</v>
      </c>
      <c r="K43" s="27">
        <f>SUM('Rate Base'!M43+'Rate Base (RCN)'!M43)/2</f>
        <v>0</v>
      </c>
      <c r="L43" s="27">
        <f>SUM('Rate Base'!N43+'Rate Base (RCN)'!N43)/2</f>
        <v>0</v>
      </c>
      <c r="M43" s="27">
        <f>SUM('Rate Base'!O43+'Rate Base (RCN)'!O43)/2</f>
        <v>0</v>
      </c>
      <c r="N43" s="27">
        <f>SUM('Rate Base'!P43+'Rate Base (RCN)'!P43)/2</f>
        <v>0</v>
      </c>
      <c r="O43" s="27">
        <f>SUM('Rate Base'!Q43+'Rate Base (RCN)'!Q43)/2</f>
        <v>-26148.49</v>
      </c>
      <c r="P43" s="27">
        <f>SUM('Rate Base'!R43+'Rate Base (RCN)'!R43)/2</f>
        <v>0</v>
      </c>
    </row>
    <row r="44" spans="1:16">
      <c r="A44" s="247" t="s">
        <v>393</v>
      </c>
      <c r="B44" s="189">
        <v>394</v>
      </c>
      <c r="C44" s="3" t="s">
        <v>125</v>
      </c>
      <c r="D44" s="193">
        <f>ROUND(SUM('Rate Base'!F44+'Rate Base (RCN)'!F44)/2,0)</f>
        <v>6995013</v>
      </c>
      <c r="E44" s="27">
        <f t="shared" si="7"/>
        <v>180352.72999999998</v>
      </c>
      <c r="F44" s="31">
        <f t="shared" si="8"/>
        <v>7175365.7300000004</v>
      </c>
      <c r="G44" s="27">
        <f>SUM('Rate Base'!I44+'Rate Base (RCN)'!I44)/2</f>
        <v>0</v>
      </c>
      <c r="H44" s="27">
        <f>SUM('Rate Base'!J44+'Rate Base (RCN)'!J44)/2</f>
        <v>0</v>
      </c>
      <c r="I44" s="27">
        <f>SUM('Rate Base'!K44+'Rate Base (RCN)'!K44)/2</f>
        <v>0</v>
      </c>
      <c r="J44" s="27">
        <f>SUM('Rate Base'!L44+'Rate Base (RCN)'!L44)/2</f>
        <v>0</v>
      </c>
      <c r="K44" s="27">
        <f>SUM('Rate Base'!M44+'Rate Base (RCN)'!M44)/2</f>
        <v>0</v>
      </c>
      <c r="L44" s="27">
        <f>SUM('Rate Base'!N44+'Rate Base (RCN)'!N44)/2</f>
        <v>0</v>
      </c>
      <c r="M44" s="27">
        <f>SUM('Rate Base'!O44+'Rate Base (RCN)'!O44)/2</f>
        <v>0</v>
      </c>
      <c r="N44" s="27">
        <f>SUM('Rate Base'!P44+'Rate Base (RCN)'!P44)/2</f>
        <v>614832</v>
      </c>
      <c r="O44" s="27">
        <f>SUM('Rate Base'!Q44+'Rate Base (RCN)'!Q44)/2</f>
        <v>-434479.27</v>
      </c>
      <c r="P44" s="27">
        <f>SUM('Rate Base'!R44+'Rate Base (RCN)'!R44)/2</f>
        <v>0</v>
      </c>
    </row>
    <row r="45" spans="1:16">
      <c r="A45" s="247" t="s">
        <v>394</v>
      </c>
      <c r="B45" s="189">
        <v>395</v>
      </c>
      <c r="C45" s="3" t="s">
        <v>126</v>
      </c>
      <c r="D45" s="193">
        <f>ROUND(SUM('Rate Base'!F45+'Rate Base (RCN)'!F45)/2,0)</f>
        <v>90480</v>
      </c>
      <c r="E45" s="27">
        <f t="shared" si="7"/>
        <v>0</v>
      </c>
      <c r="F45" s="31">
        <f t="shared" si="8"/>
        <v>90480</v>
      </c>
      <c r="G45" s="27">
        <f>SUM('Rate Base'!I45+'Rate Base (RCN)'!I45)/2</f>
        <v>0</v>
      </c>
      <c r="H45" s="27">
        <f>SUM('Rate Base'!J45+'Rate Base (RCN)'!J45)/2</f>
        <v>0</v>
      </c>
      <c r="I45" s="27">
        <f>SUM('Rate Base'!K45+'Rate Base (RCN)'!K45)/2</f>
        <v>0</v>
      </c>
      <c r="J45" s="27">
        <f>SUM('Rate Base'!L45+'Rate Base (RCN)'!L45)/2</f>
        <v>0</v>
      </c>
      <c r="K45" s="27">
        <f>SUM('Rate Base'!M45+'Rate Base (RCN)'!M45)/2</f>
        <v>0</v>
      </c>
      <c r="L45" s="27">
        <f>SUM('Rate Base'!N45+'Rate Base (RCN)'!N45)/2</f>
        <v>0</v>
      </c>
      <c r="M45" s="27">
        <f>SUM('Rate Base'!O45+'Rate Base (RCN)'!O45)/2</f>
        <v>0</v>
      </c>
      <c r="N45" s="27">
        <f>SUM('Rate Base'!P45+'Rate Base (RCN)'!P45)/2</f>
        <v>0</v>
      </c>
      <c r="O45" s="27">
        <f>SUM('Rate Base'!Q45+'Rate Base (RCN)'!Q45)/2</f>
        <v>0</v>
      </c>
      <c r="P45" s="27">
        <f>SUM('Rate Base'!R45+'Rate Base (RCN)'!R45)/2</f>
        <v>0</v>
      </c>
    </row>
    <row r="46" spans="1:16">
      <c r="A46" s="247" t="s">
        <v>395</v>
      </c>
      <c r="B46" s="189">
        <v>396</v>
      </c>
      <c r="C46" s="3" t="s">
        <v>127</v>
      </c>
      <c r="D46" s="193">
        <f>ROUND(SUM('Rate Base'!F46+'Rate Base (RCN)'!F46)/2,0)</f>
        <v>3048521</v>
      </c>
      <c r="E46" s="27">
        <f t="shared" si="7"/>
        <v>1020992.8</v>
      </c>
      <c r="F46" s="31">
        <f t="shared" si="8"/>
        <v>4069513.8</v>
      </c>
      <c r="G46" s="27">
        <f>SUM('Rate Base'!I46+'Rate Base (RCN)'!I46)/2</f>
        <v>0</v>
      </c>
      <c r="H46" s="27">
        <f>SUM('Rate Base'!J46+'Rate Base (RCN)'!J46)/2</f>
        <v>0</v>
      </c>
      <c r="I46" s="27">
        <f>SUM('Rate Base'!K46+'Rate Base (RCN)'!K46)/2</f>
        <v>0</v>
      </c>
      <c r="J46" s="27">
        <f>SUM('Rate Base'!L46+'Rate Base (RCN)'!L46)/2</f>
        <v>0</v>
      </c>
      <c r="K46" s="27">
        <f>SUM('Rate Base'!M46+'Rate Base (RCN)'!M46)/2</f>
        <v>0</v>
      </c>
      <c r="L46" s="27">
        <f>SUM('Rate Base'!N46+'Rate Base (RCN)'!N46)/2</f>
        <v>0</v>
      </c>
      <c r="M46" s="27">
        <f>SUM('Rate Base'!O46+'Rate Base (RCN)'!O46)/2</f>
        <v>0</v>
      </c>
      <c r="N46" s="27">
        <f>SUM('Rate Base'!P46+'Rate Base (RCN)'!P46)/2</f>
        <v>1008093</v>
      </c>
      <c r="O46" s="27">
        <f>SUM('Rate Base'!Q46+'Rate Base (RCN)'!Q46)/2</f>
        <v>12899.8</v>
      </c>
      <c r="P46" s="27">
        <f>SUM('Rate Base'!R46+'Rate Base (RCN)'!R46)/2</f>
        <v>0</v>
      </c>
    </row>
    <row r="47" spans="1:16">
      <c r="A47" s="247" t="s">
        <v>396</v>
      </c>
      <c r="B47" s="189">
        <v>397</v>
      </c>
      <c r="C47" s="3" t="s">
        <v>128</v>
      </c>
      <c r="D47" s="193">
        <f>ROUND(SUM('Rate Base'!F47+'Rate Base (RCN)'!F47)/2,0)</f>
        <v>4214677</v>
      </c>
      <c r="E47" s="27">
        <f t="shared" si="7"/>
        <v>95203</v>
      </c>
      <c r="F47" s="31">
        <f t="shared" si="8"/>
        <v>4309880</v>
      </c>
      <c r="G47" s="27">
        <f>SUM('Rate Base'!I47+'Rate Base (RCN)'!I47)/2</f>
        <v>0</v>
      </c>
      <c r="H47" s="27">
        <f>SUM('Rate Base'!J47+'Rate Base (RCN)'!J47)/2</f>
        <v>0</v>
      </c>
      <c r="I47" s="27">
        <f>SUM('Rate Base'!K47+'Rate Base (RCN)'!K47)/2</f>
        <v>0</v>
      </c>
      <c r="J47" s="27">
        <f>SUM('Rate Base'!L47+'Rate Base (RCN)'!L47)/2</f>
        <v>0</v>
      </c>
      <c r="K47" s="27">
        <f>SUM('Rate Base'!M47+'Rate Base (RCN)'!M47)/2</f>
        <v>0</v>
      </c>
      <c r="L47" s="27">
        <f>SUM('Rate Base'!N47+'Rate Base (RCN)'!N47)/2</f>
        <v>0</v>
      </c>
      <c r="M47" s="27">
        <f>SUM('Rate Base'!O47+'Rate Base (RCN)'!O47)/2</f>
        <v>0</v>
      </c>
      <c r="N47" s="27">
        <f>SUM('Rate Base'!P47+'Rate Base (RCN)'!P47)/2</f>
        <v>95203</v>
      </c>
      <c r="O47" s="27">
        <f>SUM('Rate Base'!Q47+'Rate Base (RCN)'!Q47)/2</f>
        <v>0</v>
      </c>
      <c r="P47" s="27">
        <f>SUM('Rate Base'!R47+'Rate Base (RCN)'!R47)/2</f>
        <v>0</v>
      </c>
    </row>
    <row r="48" spans="1:16">
      <c r="A48" s="247" t="s">
        <v>397</v>
      </c>
      <c r="B48" s="189">
        <v>398</v>
      </c>
      <c r="C48" s="3" t="s">
        <v>129</v>
      </c>
      <c r="D48" s="193">
        <f>ROUND(SUM('Rate Base'!F48+'Rate Base (RCN)'!F48)/2,0)</f>
        <v>537158</v>
      </c>
      <c r="E48" s="27">
        <f t="shared" si="7"/>
        <v>-122285.81</v>
      </c>
      <c r="F48" s="31">
        <f t="shared" si="8"/>
        <v>414872.19</v>
      </c>
      <c r="G48" s="27">
        <f>SUM('Rate Base'!I48+'Rate Base (RCN)'!I48)/2</f>
        <v>0</v>
      </c>
      <c r="H48" s="27">
        <f>SUM('Rate Base'!J48+'Rate Base (RCN)'!J48)/2</f>
        <v>0</v>
      </c>
      <c r="I48" s="27">
        <f>SUM('Rate Base'!K48+'Rate Base (RCN)'!K48)/2</f>
        <v>0</v>
      </c>
      <c r="J48" s="27">
        <f>SUM('Rate Base'!L48+'Rate Base (RCN)'!L48)/2</f>
        <v>0</v>
      </c>
      <c r="K48" s="27">
        <f>SUM('Rate Base'!M48+'Rate Base (RCN)'!M48)/2</f>
        <v>0</v>
      </c>
      <c r="L48" s="27">
        <f>SUM('Rate Base'!N48+'Rate Base (RCN)'!N48)/2</f>
        <v>0</v>
      </c>
      <c r="M48" s="27">
        <f>SUM('Rate Base'!O48+'Rate Base (RCN)'!O48)/2</f>
        <v>0</v>
      </c>
      <c r="N48" s="27">
        <f>SUM('Rate Base'!P48+'Rate Base (RCN)'!P48)/2</f>
        <v>-123014</v>
      </c>
      <c r="O48" s="27">
        <f>SUM('Rate Base'!Q48+'Rate Base (RCN)'!Q48)/2</f>
        <v>728.19</v>
      </c>
      <c r="P48" s="27">
        <f>SUM('Rate Base'!R48+'Rate Base (RCN)'!R48)/2</f>
        <v>0</v>
      </c>
    </row>
    <row r="49" spans="1:16">
      <c r="A49" s="248"/>
      <c r="B49" s="206"/>
      <c r="C49" s="211" t="s">
        <v>263</v>
      </c>
      <c r="D49" s="194">
        <f>SUM(D39:D48)</f>
        <v>63507974</v>
      </c>
      <c r="E49" s="195">
        <f>SUM(E39:E48)</f>
        <v>5623114.0099999998</v>
      </c>
      <c r="F49" s="196">
        <f>SUM(F39:F48)</f>
        <v>69131088.00999999</v>
      </c>
      <c r="G49" s="27"/>
      <c r="H49" s="27"/>
      <c r="I49" s="27"/>
      <c r="J49" s="27"/>
      <c r="K49" s="27"/>
      <c r="L49" s="27"/>
      <c r="M49" s="27"/>
      <c r="N49" s="27"/>
      <c r="O49" s="27"/>
      <c r="P49" s="27"/>
    </row>
    <row r="50" spans="1:16">
      <c r="A50" s="248"/>
      <c r="B50" s="206"/>
      <c r="C50" s="212"/>
      <c r="D50" s="198"/>
      <c r="E50" s="199"/>
      <c r="F50" s="200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s="28" customFormat="1">
      <c r="A51" s="248"/>
      <c r="B51" s="189"/>
      <c r="C51" s="21" t="s">
        <v>274</v>
      </c>
      <c r="D51" s="208"/>
      <c r="E51" s="209"/>
      <c r="F51" s="210"/>
      <c r="G51" s="27"/>
      <c r="H51" s="27"/>
      <c r="I51" s="27"/>
      <c r="J51" s="27"/>
      <c r="K51" s="27"/>
      <c r="L51" s="27"/>
      <c r="M51" s="27"/>
      <c r="N51" s="27"/>
      <c r="O51" s="27"/>
      <c r="P51" s="27"/>
    </row>
    <row r="52" spans="1:16" s="28" customFormat="1">
      <c r="A52" s="248"/>
      <c r="B52" s="189" t="s">
        <v>275</v>
      </c>
      <c r="C52" s="3" t="s">
        <v>133</v>
      </c>
      <c r="D52" s="193">
        <f>+D13</f>
        <v>456243</v>
      </c>
      <c r="E52" s="209">
        <f>+E13</f>
        <v>1340383</v>
      </c>
      <c r="F52" s="210">
        <f>+F13</f>
        <v>1796626</v>
      </c>
      <c r="G52" s="27"/>
      <c r="H52" s="27"/>
      <c r="I52" s="27"/>
      <c r="J52" s="27"/>
      <c r="K52" s="27"/>
      <c r="L52" s="27"/>
      <c r="M52" s="27"/>
      <c r="N52" s="27"/>
      <c r="O52" s="27"/>
      <c r="P52" s="27"/>
    </row>
    <row r="53" spans="1:16" s="28" customFormat="1">
      <c r="A53" s="247"/>
      <c r="B53" s="189" t="s">
        <v>275</v>
      </c>
      <c r="C53" s="3" t="s">
        <v>135</v>
      </c>
      <c r="D53" s="193">
        <f>+D21</f>
        <v>49284838</v>
      </c>
      <c r="E53" s="209">
        <f>+E21</f>
        <v>-7162995.7000000011</v>
      </c>
      <c r="F53" s="210">
        <f>+F21</f>
        <v>42121842.300000004</v>
      </c>
      <c r="G53" s="27"/>
      <c r="H53" s="27"/>
      <c r="I53" s="27"/>
      <c r="J53" s="27"/>
      <c r="K53" s="27"/>
      <c r="L53" s="27"/>
      <c r="M53" s="27"/>
      <c r="N53" s="27"/>
      <c r="O53" s="27"/>
      <c r="P53" s="27"/>
    </row>
    <row r="54" spans="1:16" s="28" customFormat="1">
      <c r="A54" s="247"/>
      <c r="B54" s="189" t="s">
        <v>275</v>
      </c>
      <c r="C54" s="12" t="s">
        <v>136</v>
      </c>
      <c r="D54" s="33">
        <f>+D36</f>
        <v>870638440</v>
      </c>
      <c r="E54" s="209">
        <f>+E36</f>
        <v>-15630920.684548697</v>
      </c>
      <c r="F54" s="210">
        <f>+F36</f>
        <v>855007519.31545126</v>
      </c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s="28" customFormat="1">
      <c r="A55" s="247"/>
      <c r="B55" s="189" t="s">
        <v>275</v>
      </c>
      <c r="C55" s="3" t="s">
        <v>137</v>
      </c>
      <c r="D55" s="193">
        <f>+D49</f>
        <v>63507974</v>
      </c>
      <c r="E55" s="209">
        <f>+E49</f>
        <v>5623114.0099999998</v>
      </c>
      <c r="F55" s="210">
        <f>+F49</f>
        <v>69131088.00999999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</row>
    <row r="56" spans="1:16" ht="13.8" thickBot="1">
      <c r="A56" s="247"/>
      <c r="B56" s="189"/>
      <c r="C56" s="29" t="s">
        <v>20</v>
      </c>
      <c r="D56" s="213">
        <f>SUM(D52:D55)</f>
        <v>983887495</v>
      </c>
      <c r="E56" s="214">
        <f>SUM(E52:E55)</f>
        <v>-15830419.374548698</v>
      </c>
      <c r="F56" s="215">
        <f>SUM(F52:F55)</f>
        <v>968057075.62545121</v>
      </c>
      <c r="G56" s="27"/>
      <c r="H56" s="27"/>
      <c r="I56" s="27"/>
      <c r="J56" s="27"/>
      <c r="K56" s="27"/>
      <c r="L56" s="27"/>
      <c r="M56" s="27"/>
      <c r="N56" s="27"/>
      <c r="O56" s="27"/>
      <c r="P56" s="27"/>
    </row>
    <row r="57" spans="1:16" ht="13.8" thickTop="1">
      <c r="A57" s="247"/>
      <c r="B57" s="206"/>
      <c r="C57" s="21"/>
      <c r="D57" s="208"/>
      <c r="E57" s="209"/>
      <c r="F57" s="200"/>
      <c r="G57" s="27"/>
      <c r="H57" s="27"/>
      <c r="I57" s="27"/>
      <c r="J57" s="27"/>
      <c r="K57" s="27"/>
      <c r="L57" s="27"/>
      <c r="M57" s="27"/>
      <c r="N57" s="27"/>
      <c r="O57" s="27"/>
      <c r="P57" s="27"/>
    </row>
    <row r="58" spans="1:16" s="45" customFormat="1">
      <c r="A58" s="321"/>
      <c r="B58" s="13"/>
      <c r="C58" s="217" t="s">
        <v>276</v>
      </c>
      <c r="D58" s="218"/>
      <c r="E58" s="219"/>
      <c r="F58" s="220"/>
      <c r="G58" s="27"/>
      <c r="H58" s="27"/>
      <c r="I58" s="27"/>
      <c r="J58" s="27"/>
      <c r="K58" s="27"/>
      <c r="L58" s="27"/>
      <c r="M58" s="27"/>
      <c r="N58" s="27"/>
      <c r="O58" s="27"/>
      <c r="P58" s="27"/>
    </row>
    <row r="59" spans="1:16">
      <c r="A59" s="247"/>
      <c r="B59" s="189"/>
      <c r="C59" s="21" t="s">
        <v>277</v>
      </c>
      <c r="D59" s="191"/>
      <c r="E59" s="32"/>
      <c r="F59" s="192"/>
      <c r="G59" s="27"/>
      <c r="H59" s="27"/>
      <c r="I59" s="27"/>
      <c r="J59" s="27"/>
      <c r="K59" s="27"/>
      <c r="L59" s="27"/>
      <c r="M59" s="27"/>
      <c r="N59" s="27"/>
      <c r="O59" s="27"/>
      <c r="P59" s="27"/>
    </row>
    <row r="60" spans="1:16">
      <c r="A60" s="247" t="s">
        <v>398</v>
      </c>
      <c r="B60" s="189">
        <v>302</v>
      </c>
      <c r="C60" s="3" t="s">
        <v>278</v>
      </c>
      <c r="D60" s="193">
        <f>ROUND(SUM('Rate Base'!F60+'Rate Base (RCN)'!F60)/2,0)</f>
        <v>105353</v>
      </c>
      <c r="E60" s="27">
        <f>SUM(G60:P60)</f>
        <v>-24701.453275075841</v>
      </c>
      <c r="F60" s="31">
        <f>D60+E60</f>
        <v>80651.546724924163</v>
      </c>
      <c r="G60" s="27">
        <f>SUM('Rate Base'!I60+'Rate Base (RCN)'!I60)/2</f>
        <v>0</v>
      </c>
      <c r="H60" s="27">
        <f>SUM('Rate Base'!J60+'Rate Base (RCN)'!J60)/2</f>
        <v>0</v>
      </c>
      <c r="I60" s="27">
        <f>SUM('Rate Base'!K60+'Rate Base (RCN)'!K60)/2</f>
        <v>-7520.4532750758399</v>
      </c>
      <c r="J60" s="27">
        <f>SUM('Rate Base'!L60+'Rate Base (RCN)'!L60)/2</f>
        <v>0</v>
      </c>
      <c r="K60" s="27">
        <f>SUM('Rate Base'!M60+'Rate Base (RCN)'!M60)/2</f>
        <v>0</v>
      </c>
      <c r="L60" s="27">
        <f>SUM('Rate Base'!N60+'Rate Base (RCN)'!N60)/2</f>
        <v>0</v>
      </c>
      <c r="M60" s="27">
        <f>SUM('Rate Base'!O60+'Rate Base (RCN)'!O60)/2</f>
        <v>0</v>
      </c>
      <c r="N60" s="27">
        <f>SUM('Rate Base'!P60+'Rate Base (RCN)'!P60)/2</f>
        <v>0</v>
      </c>
      <c r="O60" s="27">
        <f>SUM('Rate Base'!Q60+'Rate Base (RCN)'!Q60)/2</f>
        <v>-17181</v>
      </c>
      <c r="P60" s="27">
        <f>SUM('Rate Base'!R60+'Rate Base (RCN)'!R60)/2</f>
        <v>0</v>
      </c>
    </row>
    <row r="61" spans="1:16">
      <c r="A61" s="247" t="s">
        <v>399</v>
      </c>
      <c r="B61" s="189">
        <v>303</v>
      </c>
      <c r="C61" s="3" t="s">
        <v>279</v>
      </c>
      <c r="D61" s="193">
        <f>ROUND(SUM('Rate Base'!F61+'Rate Base (RCN)'!F61)/2,0)</f>
        <v>25663</v>
      </c>
      <c r="E61" s="27">
        <f>SUM(G61:P61)</f>
        <v>272207</v>
      </c>
      <c r="F61" s="31">
        <f>D61+E61</f>
        <v>297870</v>
      </c>
      <c r="G61" s="27">
        <f>SUM('Rate Base'!I61+'Rate Base (RCN)'!I61)/2</f>
        <v>0</v>
      </c>
      <c r="H61" s="27">
        <f>SUM('Rate Base'!J61+'Rate Base (RCN)'!J61)/2</f>
        <v>0</v>
      </c>
      <c r="I61" s="27">
        <f>SUM('Rate Base'!K61+'Rate Base (RCN)'!K61)/2</f>
        <v>0</v>
      </c>
      <c r="J61" s="27">
        <f>SUM('Rate Base'!L61+'Rate Base (RCN)'!L61)/2</f>
        <v>0</v>
      </c>
      <c r="K61" s="27">
        <f>SUM('Rate Base'!M61+'Rate Base (RCN)'!M61)/2</f>
        <v>0</v>
      </c>
      <c r="L61" s="27">
        <f>SUM('Rate Base'!N61+'Rate Base (RCN)'!N61)/2</f>
        <v>0</v>
      </c>
      <c r="M61" s="27">
        <f>SUM('Rate Base'!O61+'Rate Base (RCN)'!O61)/2</f>
        <v>0</v>
      </c>
      <c r="N61" s="27">
        <f>SUM('Rate Base'!P61+'Rate Base (RCN)'!P61)/2</f>
        <v>272207</v>
      </c>
      <c r="O61" s="27">
        <f>SUM('Rate Base'!Q61+'Rate Base (RCN)'!Q61)/2</f>
        <v>0</v>
      </c>
      <c r="P61" s="27">
        <f>SUM('Rate Base'!R61+'Rate Base (RCN)'!R61)/2</f>
        <v>0</v>
      </c>
    </row>
    <row r="62" spans="1:16">
      <c r="A62" s="247" t="s">
        <v>253</v>
      </c>
      <c r="B62" s="221"/>
      <c r="C62" s="285"/>
      <c r="D62" s="193"/>
      <c r="E62" s="27"/>
      <c r="F62" s="31"/>
      <c r="G62" s="27"/>
      <c r="H62" s="27"/>
      <c r="I62" s="27"/>
      <c r="J62" s="27"/>
      <c r="K62" s="27"/>
      <c r="L62" s="27"/>
      <c r="M62" s="27"/>
      <c r="N62" s="27"/>
      <c r="O62" s="27"/>
      <c r="P62" s="27"/>
    </row>
    <row r="63" spans="1:16">
      <c r="A63" s="320"/>
      <c r="B63" s="189"/>
      <c r="C63" s="36" t="s">
        <v>280</v>
      </c>
      <c r="D63" s="194">
        <f>SUM(D60:D62)</f>
        <v>131016</v>
      </c>
      <c r="E63" s="195">
        <f>SUM(E60:E62)</f>
        <v>247505.54672492415</v>
      </c>
      <c r="F63" s="196">
        <f>SUM(F60:F62)</f>
        <v>378521.54672492418</v>
      </c>
      <c r="G63" s="27"/>
      <c r="H63" s="27"/>
      <c r="I63" s="27"/>
      <c r="J63" s="27"/>
      <c r="K63" s="27"/>
      <c r="L63" s="27"/>
      <c r="M63" s="27"/>
      <c r="N63" s="27"/>
      <c r="O63" s="27"/>
      <c r="P63" s="27"/>
    </row>
    <row r="64" spans="1:16">
      <c r="D64" s="202"/>
      <c r="E64" s="203"/>
      <c r="F64" s="204"/>
    </row>
    <row r="65" spans="1:16">
      <c r="A65" s="247"/>
      <c r="B65" s="201"/>
      <c r="C65" s="21" t="s">
        <v>281</v>
      </c>
      <c r="D65" s="202"/>
      <c r="E65" s="203"/>
      <c r="F65" s="204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1:16">
      <c r="A66" s="247" t="s">
        <v>400</v>
      </c>
      <c r="B66" s="189">
        <v>365</v>
      </c>
      <c r="C66" s="3" t="s">
        <v>282</v>
      </c>
      <c r="D66" s="193">
        <f>ROUND(SUM('Rate Base'!F66+'Rate Base (RCN)'!F66)/2,0)</f>
        <v>70349</v>
      </c>
      <c r="E66" s="27">
        <f>SUM(G66:P66)</f>
        <v>-23922.467421815301</v>
      </c>
      <c r="F66" s="31">
        <f t="shared" ref="F66:F70" si="9">D66+E66</f>
        <v>46426.532578184699</v>
      </c>
      <c r="G66" s="27">
        <f>SUM('Rate Base'!I66+'Rate Base (RCN)'!I66)/2</f>
        <v>0</v>
      </c>
      <c r="H66" s="27">
        <f>SUM('Rate Base'!J66+'Rate Base (RCN)'!J66)/2</f>
        <v>-5039</v>
      </c>
      <c r="I66" s="27">
        <f>SUM('Rate Base'!K66+'Rate Base (RCN)'!K66)/2</f>
        <v>-14572.5074218153</v>
      </c>
      <c r="J66" s="27">
        <f>SUM('Rate Base'!L66+'Rate Base (RCN)'!L66)/2</f>
        <v>0</v>
      </c>
      <c r="K66" s="27">
        <f>SUM('Rate Base'!M66+'Rate Base (RCN)'!M66)/2</f>
        <v>0</v>
      </c>
      <c r="L66" s="27">
        <f>SUM('Rate Base'!N66+'Rate Base (RCN)'!N66)/2</f>
        <v>0</v>
      </c>
      <c r="M66" s="27">
        <f>SUM('Rate Base'!O66+'Rate Base (RCN)'!O66)/2</f>
        <v>-4310.96</v>
      </c>
      <c r="N66" s="27">
        <f>SUM('Rate Base'!P66+'Rate Base (RCN)'!P66)/2</f>
        <v>0</v>
      </c>
      <c r="O66" s="27">
        <f>SUM('Rate Base'!Q66+'Rate Base (RCN)'!Q66)/2</f>
        <v>0</v>
      </c>
      <c r="P66" s="27">
        <f>SUM('Rate Base'!R66+'Rate Base (RCN)'!R66)/2</f>
        <v>0</v>
      </c>
    </row>
    <row r="67" spans="1:16">
      <c r="A67" s="247" t="s">
        <v>401</v>
      </c>
      <c r="B67" s="189">
        <v>366</v>
      </c>
      <c r="C67" s="3" t="s">
        <v>104</v>
      </c>
      <c r="D67" s="193">
        <f>ROUND(SUM('Rate Base'!F67+'Rate Base (RCN)'!F67)/2,0)</f>
        <v>14733</v>
      </c>
      <c r="E67" s="27">
        <f>SUM(G67:P67)</f>
        <v>-1971.6805333033201</v>
      </c>
      <c r="F67" s="31">
        <f t="shared" si="9"/>
        <v>12761.319466696679</v>
      </c>
      <c r="G67" s="27">
        <f>SUM('Rate Base'!I67+'Rate Base (RCN)'!I67)/2</f>
        <v>0</v>
      </c>
      <c r="H67" s="27">
        <f>SUM('Rate Base'!J67+'Rate Base (RCN)'!J67)/2</f>
        <v>-721</v>
      </c>
      <c r="I67" s="27">
        <f>SUM('Rate Base'!K67+'Rate Base (RCN)'!K67)/2</f>
        <v>-1250.6805333033201</v>
      </c>
      <c r="J67" s="27">
        <f>SUM('Rate Base'!L67+'Rate Base (RCN)'!L67)/2</f>
        <v>0</v>
      </c>
      <c r="K67" s="27">
        <f>SUM('Rate Base'!M67+'Rate Base (RCN)'!M67)/2</f>
        <v>0</v>
      </c>
      <c r="L67" s="27">
        <f>SUM('Rate Base'!N67+'Rate Base (RCN)'!N67)/2</f>
        <v>0</v>
      </c>
      <c r="M67" s="27">
        <f>SUM('Rate Base'!O67+'Rate Base (RCN)'!O67)/2</f>
        <v>0</v>
      </c>
      <c r="N67" s="27">
        <f>SUM('Rate Base'!P67+'Rate Base (RCN)'!P67)/2</f>
        <v>0</v>
      </c>
      <c r="O67" s="27">
        <f>SUM('Rate Base'!Q67+'Rate Base (RCN)'!Q67)/2</f>
        <v>0</v>
      </c>
      <c r="P67" s="27">
        <f>SUM('Rate Base'!R67+'Rate Base (RCN)'!R67)/2</f>
        <v>0</v>
      </c>
    </row>
    <row r="68" spans="1:16">
      <c r="A68" s="247" t="s">
        <v>402</v>
      </c>
      <c r="B68" s="189">
        <v>367</v>
      </c>
      <c r="C68" s="3" t="s">
        <v>110</v>
      </c>
      <c r="D68" s="193">
        <f>ROUND(SUM('Rate Base'!F68+'Rate Base (RCN)'!F68)/2,0)</f>
        <v>23790031</v>
      </c>
      <c r="E68" s="27">
        <f>SUM(G68:P68)</f>
        <v>-3758183.8297664998</v>
      </c>
      <c r="F68" s="31">
        <f t="shared" si="9"/>
        <v>20031847.170233499</v>
      </c>
      <c r="G68" s="27">
        <f>SUM('Rate Base'!I68+'Rate Base (RCN)'!I68)/2</f>
        <v>0</v>
      </c>
      <c r="H68" s="27">
        <f>SUM('Rate Base'!J68+'Rate Base (RCN)'!J68)/2</f>
        <v>-902582</v>
      </c>
      <c r="I68" s="27">
        <f>SUM('Rate Base'!K68+'Rate Base (RCN)'!K68)/2</f>
        <v>-1371192.6297665001</v>
      </c>
      <c r="J68" s="27">
        <f>SUM('Rate Base'!L68+'Rate Base (RCN)'!L68)/2</f>
        <v>0</v>
      </c>
      <c r="K68" s="27">
        <f>SUM('Rate Base'!M68+'Rate Base (RCN)'!M68)/2</f>
        <v>0</v>
      </c>
      <c r="L68" s="27">
        <f>SUM('Rate Base'!N68+'Rate Base (RCN)'!N68)/2</f>
        <v>0</v>
      </c>
      <c r="M68" s="27">
        <f>SUM('Rate Base'!O68+'Rate Base (RCN)'!O68)/2</f>
        <v>-1484409.2</v>
      </c>
      <c r="N68" s="27">
        <f>SUM('Rate Base'!P68+'Rate Base (RCN)'!P68)/2</f>
        <v>0</v>
      </c>
      <c r="O68" s="27">
        <f>SUM('Rate Base'!Q68+'Rate Base (RCN)'!Q68)/2</f>
        <v>0</v>
      </c>
      <c r="P68" s="27">
        <f>SUM('Rate Base'!R68+'Rate Base (RCN)'!R68)/2</f>
        <v>0</v>
      </c>
    </row>
    <row r="69" spans="1:16">
      <c r="A69" s="247" t="s">
        <v>403</v>
      </c>
      <c r="B69" s="189">
        <v>369</v>
      </c>
      <c r="C69" s="3" t="s">
        <v>106</v>
      </c>
      <c r="D69" s="193">
        <f>ROUND(SUM('Rate Base'!F69+'Rate Base (RCN)'!F69)/2,0)</f>
        <v>4445889</v>
      </c>
      <c r="E69" s="27">
        <f>SUM(G69:P69)</f>
        <v>-1389725.1647615379</v>
      </c>
      <c r="F69" s="31">
        <f t="shared" si="9"/>
        <v>3056163.8352384623</v>
      </c>
      <c r="G69" s="27">
        <f>SUM('Rate Base'!I69+'Rate Base (RCN)'!I69)/2</f>
        <v>0</v>
      </c>
      <c r="H69" s="27">
        <f>SUM('Rate Base'!J69+'Rate Base (RCN)'!J69)/2</f>
        <v>-155660</v>
      </c>
      <c r="I69" s="27">
        <f>SUM('Rate Base'!K69+'Rate Base (RCN)'!K69)/2</f>
        <v>-356961.97476153797</v>
      </c>
      <c r="J69" s="27">
        <f>SUM('Rate Base'!L69+'Rate Base (RCN)'!L69)/2</f>
        <v>0</v>
      </c>
      <c r="K69" s="27">
        <f>SUM('Rate Base'!M69+'Rate Base (RCN)'!M69)/2</f>
        <v>0</v>
      </c>
      <c r="L69" s="27">
        <f>SUM('Rate Base'!N69+'Rate Base (RCN)'!N69)/2</f>
        <v>0</v>
      </c>
      <c r="M69" s="27">
        <f>SUM('Rate Base'!O69+'Rate Base (RCN)'!O69)/2</f>
        <v>-877103.19</v>
      </c>
      <c r="N69" s="27">
        <f>SUM('Rate Base'!P69+'Rate Base (RCN)'!P69)/2</f>
        <v>0</v>
      </c>
      <c r="O69" s="27">
        <f>SUM('Rate Base'!Q69+'Rate Base (RCN)'!Q69)/2</f>
        <v>0</v>
      </c>
      <c r="P69" s="27">
        <f>SUM('Rate Base'!R69+'Rate Base (RCN)'!R69)/2</f>
        <v>0</v>
      </c>
    </row>
    <row r="70" spans="1:16">
      <c r="A70" s="247" t="s">
        <v>404</v>
      </c>
      <c r="B70" s="189">
        <v>371</v>
      </c>
      <c r="C70" s="3" t="s">
        <v>107</v>
      </c>
      <c r="D70" s="193">
        <f>ROUND(SUM('Rate Base'!F70+'Rate Base (RCN)'!F70)/2,0)</f>
        <v>177973</v>
      </c>
      <c r="E70" s="27">
        <f>SUM(G70:P70)</f>
        <v>-168721.2137468571</v>
      </c>
      <c r="F70" s="31">
        <f t="shared" si="9"/>
        <v>9251.7862531428982</v>
      </c>
      <c r="G70" s="27">
        <f>SUM('Rate Base'!I70+'Rate Base (RCN)'!I70)/2</f>
        <v>0</v>
      </c>
      <c r="H70" s="27">
        <f>SUM('Rate Base'!J70+'Rate Base (RCN)'!J70)/2</f>
        <v>0</v>
      </c>
      <c r="I70" s="27">
        <f>SUM('Rate Base'!K70+'Rate Base (RCN)'!K70)/2</f>
        <v>-11351.6537468571</v>
      </c>
      <c r="J70" s="27">
        <f>SUM('Rate Base'!L70+'Rate Base (RCN)'!L70)/2</f>
        <v>0</v>
      </c>
      <c r="K70" s="27">
        <f>SUM('Rate Base'!M70+'Rate Base (RCN)'!M70)/2</f>
        <v>0</v>
      </c>
      <c r="L70" s="27">
        <f>SUM('Rate Base'!N70+'Rate Base (RCN)'!N70)/2</f>
        <v>0</v>
      </c>
      <c r="M70" s="27">
        <f>SUM('Rate Base'!O70+'Rate Base (RCN)'!O70)/2</f>
        <v>-157369.56</v>
      </c>
      <c r="N70" s="27">
        <f>SUM('Rate Base'!P70+'Rate Base (RCN)'!P70)/2</f>
        <v>0</v>
      </c>
      <c r="O70" s="27">
        <f>SUM('Rate Base'!Q70+'Rate Base (RCN)'!Q70)/2</f>
        <v>0</v>
      </c>
      <c r="P70" s="27">
        <f>SUM('Rate Base'!R70+'Rate Base (RCN)'!R70)/2</f>
        <v>0</v>
      </c>
    </row>
    <row r="71" spans="1:16">
      <c r="A71" s="247" t="s">
        <v>254</v>
      </c>
      <c r="B71" s="221"/>
      <c r="C71" s="285"/>
      <c r="D71" s="193"/>
      <c r="E71" s="27"/>
      <c r="F71" s="31"/>
      <c r="G71" s="27"/>
      <c r="H71" s="27"/>
      <c r="I71" s="27"/>
      <c r="J71" s="27"/>
      <c r="K71" s="27"/>
      <c r="L71" s="27"/>
      <c r="M71" s="27"/>
      <c r="N71" s="27"/>
      <c r="O71" s="27"/>
      <c r="P71" s="27"/>
    </row>
    <row r="72" spans="1:16" ht="13.8" thickBot="1">
      <c r="A72" s="247"/>
      <c r="B72" s="206"/>
      <c r="C72" s="29" t="s">
        <v>283</v>
      </c>
      <c r="D72" s="213">
        <f>SUM(D66:D71)</f>
        <v>28498975</v>
      </c>
      <c r="E72" s="214">
        <f>SUM(E66:E71)</f>
        <v>-5342524.3562300131</v>
      </c>
      <c r="F72" s="215">
        <f>SUM(F66:F71)</f>
        <v>23156450.643769983</v>
      </c>
      <c r="G72" s="27"/>
      <c r="H72" s="27"/>
      <c r="I72" s="27"/>
      <c r="J72" s="27"/>
      <c r="K72" s="27"/>
      <c r="L72" s="27"/>
      <c r="M72" s="27"/>
      <c r="N72" s="27"/>
      <c r="O72" s="27"/>
      <c r="P72" s="27"/>
    </row>
    <row r="73" spans="1:16" ht="13.8" thickTop="1">
      <c r="A73" s="247"/>
      <c r="B73" s="206"/>
      <c r="C73" s="21"/>
      <c r="D73" s="208"/>
      <c r="E73" s="209"/>
      <c r="F73" s="200"/>
      <c r="G73" s="27"/>
      <c r="H73" s="27"/>
      <c r="I73" s="27"/>
      <c r="J73" s="27"/>
      <c r="K73" s="27"/>
      <c r="L73" s="27"/>
      <c r="M73" s="27"/>
      <c r="N73" s="27"/>
      <c r="O73" s="27"/>
      <c r="P73" s="27"/>
    </row>
    <row r="74" spans="1:16">
      <c r="A74" s="247"/>
      <c r="B74" s="206"/>
      <c r="C74" s="21" t="s">
        <v>284</v>
      </c>
      <c r="D74" s="191"/>
      <c r="E74" s="197"/>
      <c r="F74" s="192"/>
      <c r="G74" s="27"/>
      <c r="H74" s="27"/>
      <c r="I74" s="27"/>
      <c r="J74" s="27"/>
      <c r="K74" s="27"/>
      <c r="L74" s="27"/>
      <c r="M74" s="27"/>
      <c r="N74" s="27"/>
      <c r="O74" s="27"/>
      <c r="P74" s="27"/>
    </row>
    <row r="75" spans="1:16">
      <c r="A75" s="247" t="s">
        <v>405</v>
      </c>
      <c r="B75" s="189">
        <v>374.1</v>
      </c>
      <c r="C75" s="3" t="s">
        <v>285</v>
      </c>
      <c r="D75" s="193">
        <f>ROUND(SUM('Rate Base'!F75+'Rate Base (RCN)'!F75)/2,0)</f>
        <v>-55255</v>
      </c>
      <c r="E75" s="27">
        <f t="shared" ref="E75:E86" si="10">SUM(G75:P75)</f>
        <v>-37096.805428911197</v>
      </c>
      <c r="F75" s="31">
        <f t="shared" ref="F75:F86" si="11">D75+E75</f>
        <v>-92351.805428911204</v>
      </c>
      <c r="G75" s="27">
        <f>SUM('Rate Base'!I75+'Rate Base (RCN)'!I75)/2</f>
        <v>0</v>
      </c>
      <c r="H75" s="27">
        <f>SUM('Rate Base'!J75+'Rate Base (RCN)'!J75)/2</f>
        <v>3957</v>
      </c>
      <c r="I75" s="27">
        <f>SUM('Rate Base'!K75+'Rate Base (RCN)'!K75)/2</f>
        <v>-41209.805428911197</v>
      </c>
      <c r="J75" s="27">
        <f>SUM('Rate Base'!L75+'Rate Base (RCN)'!L75)/2</f>
        <v>0</v>
      </c>
      <c r="K75" s="27">
        <f>SUM('Rate Base'!M75+'Rate Base (RCN)'!M75)/2</f>
        <v>0</v>
      </c>
      <c r="L75" s="27">
        <f>SUM('Rate Base'!N75+'Rate Base (RCN)'!N75)/2</f>
        <v>0</v>
      </c>
      <c r="M75" s="27">
        <f>SUM('Rate Base'!O75+'Rate Base (RCN)'!O75)/2</f>
        <v>0</v>
      </c>
      <c r="N75" s="27">
        <f>SUM('Rate Base'!P75+'Rate Base (RCN)'!P75)/2</f>
        <v>156</v>
      </c>
      <c r="O75" s="27">
        <f>SUM('Rate Base'!Q75+'Rate Base (RCN)'!Q75)/2</f>
        <v>0</v>
      </c>
      <c r="P75" s="27">
        <f>SUM('Rate Base'!R75+'Rate Base (RCN)'!R75)/2</f>
        <v>0</v>
      </c>
    </row>
    <row r="76" spans="1:16">
      <c r="A76" s="247" t="s">
        <v>406</v>
      </c>
      <c r="B76" s="189">
        <f>+B75+1</f>
        <v>375.1</v>
      </c>
      <c r="C76" s="3" t="s">
        <v>104</v>
      </c>
      <c r="D76" s="193">
        <f>ROUND(SUM('Rate Base'!F76+'Rate Base (RCN)'!F76)/2,0)</f>
        <v>28471</v>
      </c>
      <c r="E76" s="27">
        <f t="shared" si="10"/>
        <v>-1385.87659563492</v>
      </c>
      <c r="F76" s="31">
        <f t="shared" si="11"/>
        <v>27085.12340436508</v>
      </c>
      <c r="G76" s="27">
        <f>SUM('Rate Base'!I76+'Rate Base (RCN)'!I76)/2</f>
        <v>0</v>
      </c>
      <c r="H76" s="27">
        <f>SUM('Rate Base'!J76+'Rate Base (RCN)'!J76)/2</f>
        <v>-1718</v>
      </c>
      <c r="I76" s="27">
        <f>SUM('Rate Base'!K76+'Rate Base (RCN)'!K76)/2</f>
        <v>-162.87659563491999</v>
      </c>
      <c r="J76" s="27">
        <f>SUM('Rate Base'!L76+'Rate Base (RCN)'!L76)/2</f>
        <v>0</v>
      </c>
      <c r="K76" s="27">
        <f>SUM('Rate Base'!M76+'Rate Base (RCN)'!M76)/2</f>
        <v>0</v>
      </c>
      <c r="L76" s="27">
        <f>SUM('Rate Base'!N76+'Rate Base (RCN)'!N76)/2</f>
        <v>0</v>
      </c>
      <c r="M76" s="27">
        <f>SUM('Rate Base'!O76+'Rate Base (RCN)'!O76)/2</f>
        <v>0</v>
      </c>
      <c r="N76" s="27">
        <f>SUM('Rate Base'!P76+'Rate Base (RCN)'!P76)/2</f>
        <v>495</v>
      </c>
      <c r="O76" s="27">
        <f>SUM('Rate Base'!Q76+'Rate Base (RCN)'!Q76)/2</f>
        <v>0</v>
      </c>
      <c r="P76" s="27">
        <f>SUM('Rate Base'!R76+'Rate Base (RCN)'!R76)/2</f>
        <v>0</v>
      </c>
    </row>
    <row r="77" spans="1:16">
      <c r="A77" s="247" t="s">
        <v>407</v>
      </c>
      <c r="B77" s="189">
        <f>+B76+1</f>
        <v>376.1</v>
      </c>
      <c r="C77" s="3" t="s">
        <v>110</v>
      </c>
      <c r="D77" s="193">
        <f>ROUND(SUM('Rate Base'!F77+'Rate Base (RCN)'!F77)/2,0)</f>
        <v>241810505</v>
      </c>
      <c r="E77" s="27">
        <f t="shared" si="10"/>
        <v>-28183536.090206578</v>
      </c>
      <c r="F77" s="31">
        <f t="shared" si="11"/>
        <v>213626968.90979344</v>
      </c>
      <c r="G77" s="27">
        <f>SUM('Rate Base'!I77+'Rate Base (RCN)'!I77)/2</f>
        <v>0</v>
      </c>
      <c r="H77" s="27">
        <f>SUM('Rate Base'!J77+'Rate Base (RCN)'!J77)/2</f>
        <v>-9309585</v>
      </c>
      <c r="I77" s="27">
        <f>SUM('Rate Base'!K77+'Rate Base (RCN)'!K77)/2</f>
        <v>-13237428.0015384</v>
      </c>
      <c r="J77" s="27">
        <f>SUM('Rate Base'!L77+'Rate Base (RCN)'!L77)/2</f>
        <v>265</v>
      </c>
      <c r="K77" s="27">
        <f>SUM('Rate Base'!M77+'Rate Base (RCN)'!M77)/2</f>
        <v>0</v>
      </c>
      <c r="L77" s="27">
        <f>SUM('Rate Base'!N77+'Rate Base (RCN)'!N77)/2</f>
        <v>-1184910.0886681804</v>
      </c>
      <c r="M77" s="27">
        <f>SUM('Rate Base'!O77+'Rate Base (RCN)'!O77)/2</f>
        <v>0</v>
      </c>
      <c r="N77" s="27">
        <f>SUM('Rate Base'!P77+'Rate Base (RCN)'!P77)/2</f>
        <v>196999</v>
      </c>
      <c r="O77" s="27">
        <f>SUM('Rate Base'!Q77+'Rate Base (RCN)'!Q77)/2</f>
        <v>-4648877</v>
      </c>
      <c r="P77" s="27">
        <f>SUM('Rate Base'!R77+'Rate Base (RCN)'!R77)/2</f>
        <v>0</v>
      </c>
    </row>
    <row r="78" spans="1:16">
      <c r="A78" s="247" t="s">
        <v>408</v>
      </c>
      <c r="B78" s="189">
        <v>378</v>
      </c>
      <c r="C78" s="3" t="s">
        <v>286</v>
      </c>
      <c r="D78" s="193">
        <f>ROUND(SUM('Rate Base'!F78+'Rate Base (RCN)'!F78)/2,0)</f>
        <v>5006442</v>
      </c>
      <c r="E78" s="27">
        <f t="shared" si="10"/>
        <v>-403978.31932047603</v>
      </c>
      <c r="F78" s="31">
        <f t="shared" si="11"/>
        <v>4602463.6806795243</v>
      </c>
      <c r="G78" s="27">
        <f>SUM('Rate Base'!I78+'Rate Base (RCN)'!I78)/2</f>
        <v>0</v>
      </c>
      <c r="H78" s="27">
        <f>SUM('Rate Base'!J78+'Rate Base (RCN)'!J78)/2</f>
        <v>-192550</v>
      </c>
      <c r="I78" s="27">
        <f>SUM('Rate Base'!K78+'Rate Base (RCN)'!K78)/2</f>
        <v>-106496.189320476</v>
      </c>
      <c r="J78" s="27">
        <f>SUM('Rate Base'!L78+'Rate Base (RCN)'!L78)/2</f>
        <v>35</v>
      </c>
      <c r="K78" s="27">
        <f>SUM('Rate Base'!M78+'Rate Base (RCN)'!M78)/2</f>
        <v>0</v>
      </c>
      <c r="L78" s="27">
        <f>SUM('Rate Base'!N78+'Rate Base (RCN)'!N78)/2</f>
        <v>0</v>
      </c>
      <c r="M78" s="27">
        <f>SUM('Rate Base'!O78+'Rate Base (RCN)'!O78)/2</f>
        <v>0</v>
      </c>
      <c r="N78" s="27">
        <f>SUM('Rate Base'!P78+'Rate Base (RCN)'!P78)/2</f>
        <v>4802</v>
      </c>
      <c r="O78" s="27">
        <f>SUM('Rate Base'!Q78+'Rate Base (RCN)'!Q78)/2</f>
        <v>-109769.13</v>
      </c>
      <c r="P78" s="27">
        <f>SUM('Rate Base'!R78+'Rate Base (RCN)'!R78)/2</f>
        <v>0</v>
      </c>
    </row>
    <row r="79" spans="1:16">
      <c r="A79" s="247" t="s">
        <v>409</v>
      </c>
      <c r="B79" s="189">
        <f t="shared" ref="B79:B84" si="12">+B78+1</f>
        <v>379</v>
      </c>
      <c r="C79" s="3" t="s">
        <v>287</v>
      </c>
      <c r="D79" s="193">
        <f>ROUND(SUM('Rate Base'!F79+'Rate Base (RCN)'!F79)/2,0)</f>
        <v>4075565</v>
      </c>
      <c r="E79" s="27">
        <f t="shared" si="10"/>
        <v>-729893.65426303283</v>
      </c>
      <c r="F79" s="31">
        <f t="shared" si="11"/>
        <v>3345671.3457369674</v>
      </c>
      <c r="G79" s="27">
        <f>SUM('Rate Base'!I79+'Rate Base (RCN)'!I79)/2</f>
        <v>0</v>
      </c>
      <c r="H79" s="27">
        <f>SUM('Rate Base'!J79+'Rate Base (RCN)'!J79)/2</f>
        <v>-159807</v>
      </c>
      <c r="I79" s="27">
        <f>SUM('Rate Base'!K79+'Rate Base (RCN)'!K79)/2</f>
        <v>-147104.60152310299</v>
      </c>
      <c r="J79" s="27">
        <f>SUM('Rate Base'!L79+'Rate Base (RCN)'!L79)/2</f>
        <v>0</v>
      </c>
      <c r="K79" s="27">
        <f>SUM('Rate Base'!M79+'Rate Base (RCN)'!M79)/2</f>
        <v>0</v>
      </c>
      <c r="L79" s="27">
        <f>SUM('Rate Base'!N79+'Rate Base (RCN)'!N79)/2</f>
        <v>-294249.84273992991</v>
      </c>
      <c r="M79" s="27">
        <f>SUM('Rate Base'!O79+'Rate Base (RCN)'!O79)/2</f>
        <v>0</v>
      </c>
      <c r="N79" s="27">
        <f>SUM('Rate Base'!P79+'Rate Base (RCN)'!P79)/2</f>
        <v>4571</v>
      </c>
      <c r="O79" s="27">
        <f>SUM('Rate Base'!Q79+'Rate Base (RCN)'!Q79)/2</f>
        <v>-133303.21</v>
      </c>
      <c r="P79" s="27">
        <f>SUM('Rate Base'!R79+'Rate Base (RCN)'!R79)/2</f>
        <v>0</v>
      </c>
    </row>
    <row r="80" spans="1:16">
      <c r="A80" s="247" t="s">
        <v>410</v>
      </c>
      <c r="B80" s="189">
        <f t="shared" si="12"/>
        <v>380</v>
      </c>
      <c r="C80" s="3" t="s">
        <v>113</v>
      </c>
      <c r="D80" s="193">
        <f>ROUND(SUM('Rate Base'!F80+'Rate Base (RCN)'!F80)/2,0)</f>
        <v>115267596</v>
      </c>
      <c r="E80" s="27">
        <f t="shared" si="10"/>
        <v>-5944158.3936962802</v>
      </c>
      <c r="F80" s="31">
        <f t="shared" si="11"/>
        <v>109323437.60630372</v>
      </c>
      <c r="G80" s="27">
        <f>SUM('Rate Base'!I80+'Rate Base (RCN)'!I80)/2</f>
        <v>0</v>
      </c>
      <c r="H80" s="27">
        <f>SUM('Rate Base'!J80+'Rate Base (RCN)'!J80)/2</f>
        <v>0</v>
      </c>
      <c r="I80" s="27">
        <f>SUM('Rate Base'!K80+'Rate Base (RCN)'!K80)/2</f>
        <v>-4380506.0936962804</v>
      </c>
      <c r="J80" s="27">
        <f>SUM('Rate Base'!L80+'Rate Base (RCN)'!L80)/2</f>
        <v>9</v>
      </c>
      <c r="K80" s="27">
        <f>SUM('Rate Base'!M80+'Rate Base (RCN)'!M80)/2</f>
        <v>-14310</v>
      </c>
      <c r="L80" s="27">
        <f>SUM('Rate Base'!N80+'Rate Base (RCN)'!N80)/2</f>
        <v>0</v>
      </c>
      <c r="M80" s="27">
        <f>SUM('Rate Base'!O80+'Rate Base (RCN)'!O80)/2</f>
        <v>0</v>
      </c>
      <c r="N80" s="27">
        <f>SUM('Rate Base'!P80+'Rate Base (RCN)'!P80)/2</f>
        <v>136803</v>
      </c>
      <c r="O80" s="27">
        <f>SUM('Rate Base'!Q80+'Rate Base (RCN)'!Q80)/2</f>
        <v>-1686154.3</v>
      </c>
      <c r="P80" s="27">
        <f>SUM('Rate Base'!R80+'Rate Base (RCN)'!R80)/2</f>
        <v>0</v>
      </c>
    </row>
    <row r="81" spans="1:16">
      <c r="A81" s="247" t="s">
        <v>411</v>
      </c>
      <c r="B81" s="189">
        <f t="shared" si="12"/>
        <v>381</v>
      </c>
      <c r="C81" s="3" t="s">
        <v>114</v>
      </c>
      <c r="D81" s="193">
        <f>ROUND(SUM('Rate Base'!F81+'Rate Base (RCN)'!F81)/2,0)</f>
        <v>12668248</v>
      </c>
      <c r="E81" s="27">
        <f t="shared" si="10"/>
        <v>-1111975.570439674</v>
      </c>
      <c r="F81" s="31">
        <f t="shared" si="11"/>
        <v>11556272.429560326</v>
      </c>
      <c r="G81" s="27">
        <f>SUM('Rate Base'!I81+'Rate Base (RCN)'!I81)/2</f>
        <v>0</v>
      </c>
      <c r="H81" s="27">
        <f>SUM('Rate Base'!J81+'Rate Base (RCN)'!J81)/2</f>
        <v>0</v>
      </c>
      <c r="I81" s="27">
        <f>SUM('Rate Base'!K81+'Rate Base (RCN)'!K81)/2</f>
        <v>-762904.84043967398</v>
      </c>
      <c r="J81" s="27">
        <f>SUM('Rate Base'!L81+'Rate Base (RCN)'!L81)/2</f>
        <v>0</v>
      </c>
      <c r="K81" s="27">
        <f>SUM('Rate Base'!M81+'Rate Base (RCN)'!M81)/2</f>
        <v>0</v>
      </c>
      <c r="L81" s="27">
        <f>SUM('Rate Base'!N81+'Rate Base (RCN)'!N81)/2</f>
        <v>0</v>
      </c>
      <c r="M81" s="27">
        <f>SUM('Rate Base'!O81+'Rate Base (RCN)'!O81)/2</f>
        <v>0</v>
      </c>
      <c r="N81" s="27">
        <f>SUM('Rate Base'!P81+'Rate Base (RCN)'!P81)/2</f>
        <v>44071</v>
      </c>
      <c r="O81" s="27">
        <f>SUM('Rate Base'!Q81+'Rate Base (RCN)'!Q81)/2</f>
        <v>-393141.73</v>
      </c>
      <c r="P81" s="27">
        <f>SUM('Rate Base'!R81+'Rate Base (RCN)'!R81)/2</f>
        <v>0</v>
      </c>
    </row>
    <row r="82" spans="1:16">
      <c r="A82" s="247" t="s">
        <v>412</v>
      </c>
      <c r="B82" s="189">
        <f t="shared" si="12"/>
        <v>382</v>
      </c>
      <c r="C82" s="3" t="s">
        <v>115</v>
      </c>
      <c r="D82" s="193">
        <f>ROUND(SUM('Rate Base'!F82+'Rate Base (RCN)'!F82)/2,0)</f>
        <v>5223873</v>
      </c>
      <c r="E82" s="27">
        <f t="shared" si="10"/>
        <v>-446299.04756805598</v>
      </c>
      <c r="F82" s="31">
        <f t="shared" si="11"/>
        <v>4777573.9524319442</v>
      </c>
      <c r="G82" s="27">
        <f>SUM('Rate Base'!I82+'Rate Base (RCN)'!I82)/2</f>
        <v>0</v>
      </c>
      <c r="H82" s="27">
        <f>SUM('Rate Base'!J82+'Rate Base (RCN)'!J82)/2</f>
        <v>0</v>
      </c>
      <c r="I82" s="27">
        <f>SUM('Rate Base'!K82+'Rate Base (RCN)'!K82)/2</f>
        <v>-460674.79756805598</v>
      </c>
      <c r="J82" s="27">
        <f>SUM('Rate Base'!L82+'Rate Base (RCN)'!L82)/2</f>
        <v>0</v>
      </c>
      <c r="K82" s="27">
        <f>SUM('Rate Base'!M82+'Rate Base (RCN)'!M82)/2</f>
        <v>0</v>
      </c>
      <c r="L82" s="27">
        <f>SUM('Rate Base'!N82+'Rate Base (RCN)'!N82)/2</f>
        <v>0</v>
      </c>
      <c r="M82" s="27">
        <f>SUM('Rate Base'!O82+'Rate Base (RCN)'!O82)/2</f>
        <v>0</v>
      </c>
      <c r="N82" s="27">
        <f>SUM('Rate Base'!P82+'Rate Base (RCN)'!P82)/2</f>
        <v>17402</v>
      </c>
      <c r="O82" s="27">
        <f>SUM('Rate Base'!Q82+'Rate Base (RCN)'!Q82)/2</f>
        <v>-3026.25</v>
      </c>
      <c r="P82" s="27">
        <f>SUM('Rate Base'!R82+'Rate Base (RCN)'!R82)/2</f>
        <v>0</v>
      </c>
    </row>
    <row r="83" spans="1:16">
      <c r="A83" s="247" t="s">
        <v>413</v>
      </c>
      <c r="B83" s="189">
        <f t="shared" si="12"/>
        <v>383</v>
      </c>
      <c r="C83" s="3" t="s">
        <v>288</v>
      </c>
      <c r="D83" s="193">
        <f>ROUND(SUM('Rate Base'!F83+'Rate Base (RCN)'!F83)/2,0)</f>
        <v>4362547</v>
      </c>
      <c r="E83" s="27">
        <f t="shared" si="10"/>
        <v>-36961.166251646006</v>
      </c>
      <c r="F83" s="31">
        <f t="shared" si="11"/>
        <v>4325585.8337483536</v>
      </c>
      <c r="G83" s="27">
        <f>SUM('Rate Base'!I83+'Rate Base (RCN)'!I83)/2</f>
        <v>0</v>
      </c>
      <c r="H83" s="27">
        <f>SUM('Rate Base'!J83+'Rate Base (RCN)'!J83)/2</f>
        <v>0</v>
      </c>
      <c r="I83" s="27">
        <f>SUM('Rate Base'!K83+'Rate Base (RCN)'!K83)/2</f>
        <v>-100648.616251646</v>
      </c>
      <c r="J83" s="27">
        <f>SUM('Rate Base'!L83+'Rate Base (RCN)'!L83)/2</f>
        <v>0</v>
      </c>
      <c r="K83" s="27">
        <f>SUM('Rate Base'!M83+'Rate Base (RCN)'!M83)/2</f>
        <v>0</v>
      </c>
      <c r="L83" s="27">
        <f>SUM('Rate Base'!N83+'Rate Base (RCN)'!N83)/2</f>
        <v>0</v>
      </c>
      <c r="M83" s="27">
        <f>SUM('Rate Base'!O83+'Rate Base (RCN)'!O83)/2</f>
        <v>0</v>
      </c>
      <c r="N83" s="27">
        <f>SUM('Rate Base'!P83+'Rate Base (RCN)'!P83)/2</f>
        <v>4274</v>
      </c>
      <c r="O83" s="27">
        <f>SUM('Rate Base'!Q83+'Rate Base (RCN)'!Q83)/2</f>
        <v>59413.45</v>
      </c>
      <c r="P83" s="27">
        <f>SUM('Rate Base'!R83+'Rate Base (RCN)'!R83)/2</f>
        <v>0</v>
      </c>
    </row>
    <row r="84" spans="1:16">
      <c r="A84" s="247" t="s">
        <v>414</v>
      </c>
      <c r="B84" s="189">
        <f t="shared" si="12"/>
        <v>384</v>
      </c>
      <c r="C84" s="3" t="s">
        <v>289</v>
      </c>
      <c r="D84" s="193">
        <f>ROUND(SUM('Rate Base'!F84+'Rate Base (RCN)'!F84)/2,0)</f>
        <v>3027193</v>
      </c>
      <c r="E84" s="27">
        <f t="shared" si="10"/>
        <v>-36775.144486798497</v>
      </c>
      <c r="F84" s="31">
        <f t="shared" si="11"/>
        <v>2990417.8555132016</v>
      </c>
      <c r="G84" s="27">
        <f>SUM('Rate Base'!I84+'Rate Base (RCN)'!I84)/2</f>
        <v>0</v>
      </c>
      <c r="H84" s="27">
        <f>SUM('Rate Base'!J84+'Rate Base (RCN)'!J84)/2</f>
        <v>0</v>
      </c>
      <c r="I84" s="27">
        <f>SUM('Rate Base'!K84+'Rate Base (RCN)'!K84)/2</f>
        <v>-42246.144486798497</v>
      </c>
      <c r="J84" s="27">
        <f>SUM('Rate Base'!L84+'Rate Base (RCN)'!L84)/2</f>
        <v>0</v>
      </c>
      <c r="K84" s="27">
        <f>SUM('Rate Base'!M84+'Rate Base (RCN)'!M84)/2</f>
        <v>0</v>
      </c>
      <c r="L84" s="27">
        <f>SUM('Rate Base'!N84+'Rate Base (RCN)'!N84)/2</f>
        <v>0</v>
      </c>
      <c r="M84" s="27">
        <f>SUM('Rate Base'!O84+'Rate Base (RCN)'!O84)/2</f>
        <v>0</v>
      </c>
      <c r="N84" s="27">
        <f>SUM('Rate Base'!P84+'Rate Base (RCN)'!P84)/2</f>
        <v>5471</v>
      </c>
      <c r="O84" s="27">
        <f>SUM('Rate Base'!Q84+'Rate Base (RCN)'!Q84)/2</f>
        <v>0</v>
      </c>
      <c r="P84" s="27">
        <f>SUM('Rate Base'!R84+'Rate Base (RCN)'!R84)/2</f>
        <v>0</v>
      </c>
    </row>
    <row r="85" spans="1:16">
      <c r="A85" s="247" t="s">
        <v>415</v>
      </c>
      <c r="B85" s="189">
        <v>385</v>
      </c>
      <c r="C85" s="3" t="s">
        <v>290</v>
      </c>
      <c r="D85" s="193">
        <f>ROUND(SUM('Rate Base'!F85+'Rate Base (RCN)'!F85)/2,0)</f>
        <v>1288854</v>
      </c>
      <c r="E85" s="27">
        <f t="shared" si="10"/>
        <v>-202815.86162614921</v>
      </c>
      <c r="F85" s="31">
        <f t="shared" si="11"/>
        <v>1086038.1383738508</v>
      </c>
      <c r="G85" s="27">
        <f>SUM('Rate Base'!I85+'Rate Base (RCN)'!I85)/2</f>
        <v>0</v>
      </c>
      <c r="H85" s="27">
        <f>SUM('Rate Base'!J85+'Rate Base (RCN)'!J85)/2</f>
        <v>0</v>
      </c>
      <c r="I85" s="27">
        <f>SUM('Rate Base'!K85+'Rate Base (RCN)'!K85)/2</f>
        <v>-69161.931626149206</v>
      </c>
      <c r="J85" s="27">
        <f>SUM('Rate Base'!L85+'Rate Base (RCN)'!L85)/2</f>
        <v>0</v>
      </c>
      <c r="K85" s="27">
        <f>SUM('Rate Base'!M85+'Rate Base (RCN)'!M85)/2</f>
        <v>0</v>
      </c>
      <c r="L85" s="27">
        <f>SUM('Rate Base'!N85+'Rate Base (RCN)'!N85)/2</f>
        <v>0</v>
      </c>
      <c r="M85" s="27">
        <f>SUM('Rate Base'!O85+'Rate Base (RCN)'!O85)/2</f>
        <v>-7678.93</v>
      </c>
      <c r="N85" s="27">
        <f>SUM('Rate Base'!P85+'Rate Base (RCN)'!P85)/2</f>
        <v>2170</v>
      </c>
      <c r="O85" s="27">
        <f>SUM('Rate Base'!Q85+'Rate Base (RCN)'!Q85)/2</f>
        <v>-128145</v>
      </c>
      <c r="P85" s="27">
        <f>SUM('Rate Base'!R85+'Rate Base (RCN)'!R85)/2</f>
        <v>0</v>
      </c>
    </row>
    <row r="86" spans="1:16">
      <c r="A86" s="247" t="s">
        <v>416</v>
      </c>
      <c r="B86" s="189">
        <v>387</v>
      </c>
      <c r="C86" s="3" t="s">
        <v>107</v>
      </c>
      <c r="D86" s="193">
        <f>ROUND(SUM('Rate Base'!F86+'Rate Base (RCN)'!F86)/2,0)</f>
        <v>1764290</v>
      </c>
      <c r="E86" s="27">
        <f t="shared" si="10"/>
        <v>-320882.67035628879</v>
      </c>
      <c r="F86" s="31">
        <f t="shared" si="11"/>
        <v>1443407.3296437112</v>
      </c>
      <c r="G86" s="27">
        <f>SUM('Rate Base'!I86+'Rate Base (RCN)'!I86)/2</f>
        <v>0</v>
      </c>
      <c r="H86" s="27">
        <f>SUM('Rate Base'!J86+'Rate Base (RCN)'!J86)/2</f>
        <v>-126375</v>
      </c>
      <c r="I86" s="27">
        <f>SUM('Rate Base'!K86+'Rate Base (RCN)'!K86)/2</f>
        <v>-64978.6703562888</v>
      </c>
      <c r="J86" s="27">
        <f>SUM('Rate Base'!L86+'Rate Base (RCN)'!L86)/2</f>
        <v>0</v>
      </c>
      <c r="K86" s="27">
        <f>SUM('Rate Base'!M86+'Rate Base (RCN)'!M86)/2</f>
        <v>0</v>
      </c>
      <c r="L86" s="27">
        <f>SUM('Rate Base'!N86+'Rate Base (RCN)'!N86)/2</f>
        <v>0</v>
      </c>
      <c r="M86" s="27">
        <f>SUM('Rate Base'!O86+'Rate Base (RCN)'!O86)/2</f>
        <v>0</v>
      </c>
      <c r="N86" s="27">
        <f>SUM('Rate Base'!P86+'Rate Base (RCN)'!P86)/2</f>
        <v>-11</v>
      </c>
      <c r="O86" s="27">
        <f>SUM('Rate Base'!Q86+'Rate Base (RCN)'!Q86)/2</f>
        <v>-129518</v>
      </c>
      <c r="P86" s="27">
        <f>SUM('Rate Base'!R86+'Rate Base (RCN)'!R86)/2</f>
        <v>0</v>
      </c>
    </row>
    <row r="87" spans="1:16">
      <c r="A87" s="247" t="s">
        <v>255</v>
      </c>
      <c r="B87" s="221"/>
      <c r="C87" s="285"/>
      <c r="D87" s="193"/>
      <c r="E87" s="27"/>
      <c r="F87" s="31"/>
      <c r="G87" s="27"/>
      <c r="H87" s="27"/>
      <c r="I87" s="27"/>
      <c r="J87" s="27"/>
      <c r="K87" s="27"/>
      <c r="L87" s="27"/>
      <c r="M87" s="27"/>
      <c r="N87" s="27"/>
      <c r="O87" s="27"/>
      <c r="P87" s="27"/>
    </row>
    <row r="88" spans="1:16">
      <c r="A88" s="247"/>
      <c r="B88" s="206"/>
      <c r="C88" s="36" t="s">
        <v>291</v>
      </c>
      <c r="D88" s="194">
        <f>SUM(D75:D87)</f>
        <v>394468329</v>
      </c>
      <c r="E88" s="195">
        <f>SUM(E75:E87)</f>
        <v>-37455758.600239523</v>
      </c>
      <c r="F88" s="196">
        <f>SUM(F75:F87)</f>
        <v>357012570.39976048</v>
      </c>
      <c r="G88" s="27"/>
      <c r="H88" s="27"/>
      <c r="I88" s="27"/>
      <c r="J88" s="27"/>
      <c r="K88" s="27"/>
      <c r="L88" s="27"/>
      <c r="M88" s="27"/>
      <c r="N88" s="27"/>
      <c r="O88" s="27"/>
      <c r="P88" s="27"/>
    </row>
    <row r="89" spans="1:16">
      <c r="A89" s="247"/>
      <c r="B89" s="206"/>
      <c r="C89" s="37"/>
      <c r="D89" s="404">
        <f>('Rate Base'!F88+'Rate Base (RCN)'!F88)/2</f>
        <v>394468328.91374415</v>
      </c>
      <c r="E89" s="199"/>
      <c r="F89" s="200"/>
      <c r="G89" s="27"/>
      <c r="H89" s="27"/>
      <c r="I89" s="27"/>
      <c r="J89" s="27"/>
      <c r="K89" s="27"/>
      <c r="L89" s="27"/>
      <c r="M89" s="27"/>
      <c r="N89" s="27"/>
      <c r="O89" s="27"/>
      <c r="P89" s="27"/>
    </row>
    <row r="90" spans="1:16">
      <c r="A90" s="247"/>
      <c r="B90" s="189"/>
      <c r="C90" s="21" t="s">
        <v>292</v>
      </c>
      <c r="D90" s="191"/>
      <c r="E90" s="197"/>
      <c r="F90" s="192"/>
      <c r="G90" s="27"/>
      <c r="H90" s="27"/>
      <c r="I90" s="27"/>
      <c r="J90" s="27"/>
      <c r="K90" s="27"/>
      <c r="L90" s="27"/>
      <c r="M90" s="27"/>
      <c r="N90" s="27"/>
      <c r="O90" s="27"/>
      <c r="P90" s="27"/>
    </row>
    <row r="91" spans="1:16">
      <c r="A91" s="247" t="s">
        <v>426</v>
      </c>
      <c r="B91" s="189">
        <v>389</v>
      </c>
      <c r="C91" s="3" t="s">
        <v>285</v>
      </c>
      <c r="D91" s="193">
        <f>ROUND(SUM('Rate Base'!F91+'Rate Base (RCN)'!F91)/2,0)</f>
        <v>190394</v>
      </c>
      <c r="E91" s="27">
        <f t="shared" ref="E91:E100" si="13">SUM(G91:P91)</f>
        <v>-117655.4437388199</v>
      </c>
      <c r="F91" s="31">
        <f t="shared" ref="F91:F100" si="14">D91+E91</f>
        <v>72738.5562611801</v>
      </c>
      <c r="G91" s="27">
        <f>SUM('Rate Base'!I91+'Rate Base (RCN)'!I91)/2</f>
        <v>0</v>
      </c>
      <c r="H91" s="27">
        <f>SUM('Rate Base'!J91+'Rate Base (RCN)'!J91)/2</f>
        <v>0</v>
      </c>
      <c r="I91" s="27">
        <f>SUM('Rate Base'!K91+'Rate Base (RCN)'!K91)/2</f>
        <v>-16641.453738819899</v>
      </c>
      <c r="J91" s="27">
        <f>SUM('Rate Base'!L91+'Rate Base (RCN)'!L91)/2</f>
        <v>0</v>
      </c>
      <c r="K91" s="27">
        <f>SUM('Rate Base'!M91+'Rate Base (RCN)'!M91)/2</f>
        <v>0</v>
      </c>
      <c r="L91" s="27">
        <f>SUM('Rate Base'!N91+'Rate Base (RCN)'!N91)/2</f>
        <v>0</v>
      </c>
      <c r="M91" s="27">
        <f>SUM('Rate Base'!O91+'Rate Base (RCN)'!O91)/2</f>
        <v>0</v>
      </c>
      <c r="N91" s="27">
        <f>SUM('Rate Base'!P91+'Rate Base (RCN)'!P91)/2</f>
        <v>0</v>
      </c>
      <c r="O91" s="27">
        <f>SUM('Rate Base'!Q91+'Rate Base (RCN)'!Q91)/2</f>
        <v>-101013.99</v>
      </c>
      <c r="P91" s="27">
        <f>SUM('Rate Base'!R91+'Rate Base (RCN)'!R91)/2</f>
        <v>0</v>
      </c>
    </row>
    <row r="92" spans="1:16">
      <c r="A92" s="247" t="s">
        <v>417</v>
      </c>
      <c r="B92" s="189">
        <v>390</v>
      </c>
      <c r="C92" s="3" t="s">
        <v>104</v>
      </c>
      <c r="D92" s="193">
        <f>ROUND(SUM('Rate Base'!F92+'Rate Base (RCN)'!F92)/2,0)</f>
        <v>5820724</v>
      </c>
      <c r="E92" s="27">
        <f t="shared" si="13"/>
        <v>-142521.92951845151</v>
      </c>
      <c r="F92" s="31">
        <f t="shared" si="14"/>
        <v>5678202.0704815481</v>
      </c>
      <c r="G92" s="27">
        <f>SUM('Rate Base'!I92+'Rate Base (RCN)'!I92)/2</f>
        <v>0</v>
      </c>
      <c r="H92" s="27">
        <f>SUM('Rate Base'!J92+'Rate Base (RCN)'!J92)/2</f>
        <v>0</v>
      </c>
      <c r="I92" s="27">
        <f>SUM('Rate Base'!K92+'Rate Base (RCN)'!K92)/2</f>
        <v>-27017.779518451502</v>
      </c>
      <c r="J92" s="27">
        <f>SUM('Rate Base'!L92+'Rate Base (RCN)'!L92)/2</f>
        <v>1</v>
      </c>
      <c r="K92" s="27">
        <f>SUM('Rate Base'!M92+'Rate Base (RCN)'!M92)/2</f>
        <v>0</v>
      </c>
      <c r="L92" s="27">
        <f>SUM('Rate Base'!N92+'Rate Base (RCN)'!N92)/2</f>
        <v>0</v>
      </c>
      <c r="M92" s="27">
        <f>SUM('Rate Base'!O92+'Rate Base (RCN)'!O92)/2</f>
        <v>0</v>
      </c>
      <c r="N92" s="27">
        <f>SUM('Rate Base'!P92+'Rate Base (RCN)'!P92)/2</f>
        <v>26910</v>
      </c>
      <c r="O92" s="27">
        <f>SUM('Rate Base'!Q92+'Rate Base (RCN)'!Q92)/2</f>
        <v>-142415.15</v>
      </c>
      <c r="P92" s="27">
        <f>SUM('Rate Base'!R92+'Rate Base (RCN)'!R92)/2</f>
        <v>0</v>
      </c>
    </row>
    <row r="93" spans="1:16">
      <c r="A93" s="247" t="s">
        <v>418</v>
      </c>
      <c r="B93" s="189">
        <v>391</v>
      </c>
      <c r="C93" s="3" t="s">
        <v>293</v>
      </c>
      <c r="D93" s="193">
        <f>ROUND(SUM('Rate Base'!F93+'Rate Base (RCN)'!F93)/2,0)</f>
        <v>2544724</v>
      </c>
      <c r="E93" s="27">
        <f t="shared" si="13"/>
        <v>146255</v>
      </c>
      <c r="F93" s="31">
        <f t="shared" si="14"/>
        <v>2690979</v>
      </c>
      <c r="G93" s="27">
        <f>SUM('Rate Base'!I93+'Rate Base (RCN)'!I93)/2</f>
        <v>0</v>
      </c>
      <c r="H93" s="27">
        <f>SUM('Rate Base'!J93+'Rate Base (RCN)'!J93)/2</f>
        <v>0</v>
      </c>
      <c r="I93" s="27">
        <f>SUM('Rate Base'!K93+'Rate Base (RCN)'!K93)/2</f>
        <v>0</v>
      </c>
      <c r="J93" s="27">
        <f>SUM('Rate Base'!L93+'Rate Base (RCN)'!L93)/2</f>
        <v>0</v>
      </c>
      <c r="K93" s="27">
        <f>SUM('Rate Base'!M93+'Rate Base (RCN)'!M93)/2</f>
        <v>0</v>
      </c>
      <c r="L93" s="27">
        <f>SUM('Rate Base'!N93+'Rate Base (RCN)'!N93)/2</f>
        <v>0</v>
      </c>
      <c r="M93" s="27">
        <f>SUM('Rate Base'!O93+'Rate Base (RCN)'!O93)/2</f>
        <v>0</v>
      </c>
      <c r="N93" s="27">
        <f>SUM('Rate Base'!P93+'Rate Base (RCN)'!P93)/2</f>
        <v>146255</v>
      </c>
      <c r="O93" s="27">
        <f>SUM('Rate Base'!Q93+'Rate Base (RCN)'!Q93)/2</f>
        <v>0</v>
      </c>
      <c r="P93" s="27">
        <f>SUM('Rate Base'!R93+'Rate Base (RCN)'!R93)/2</f>
        <v>0</v>
      </c>
    </row>
    <row r="94" spans="1:16">
      <c r="A94" s="247" t="s">
        <v>419</v>
      </c>
      <c r="B94" s="189">
        <v>392</v>
      </c>
      <c r="C94" s="3" t="s">
        <v>123</v>
      </c>
      <c r="D94" s="193">
        <f>ROUND(SUM('Rate Base'!F94+'Rate Base (RCN)'!F94)/2,0)</f>
        <v>9295825</v>
      </c>
      <c r="E94" s="27">
        <f t="shared" si="13"/>
        <v>231161</v>
      </c>
      <c r="F94" s="31">
        <f t="shared" si="14"/>
        <v>9526986</v>
      </c>
      <c r="G94" s="27">
        <f>SUM('Rate Base'!I94+'Rate Base (RCN)'!I94)/2</f>
        <v>0</v>
      </c>
      <c r="H94" s="27">
        <f>SUM('Rate Base'!J94+'Rate Base (RCN)'!J94)/2</f>
        <v>0</v>
      </c>
      <c r="I94" s="27">
        <f>SUM('Rate Base'!K94+'Rate Base (RCN)'!K94)/2</f>
        <v>0</v>
      </c>
      <c r="J94" s="27">
        <f>SUM('Rate Base'!L94+'Rate Base (RCN)'!L94)/2</f>
        <v>1239</v>
      </c>
      <c r="K94" s="27">
        <f>SUM('Rate Base'!M94+'Rate Base (RCN)'!M94)/2</f>
        <v>0</v>
      </c>
      <c r="L94" s="27">
        <f>SUM('Rate Base'!N94+'Rate Base (RCN)'!N94)/2</f>
        <v>0</v>
      </c>
      <c r="M94" s="27">
        <f>SUM('Rate Base'!O94+'Rate Base (RCN)'!O94)/2</f>
        <v>0</v>
      </c>
      <c r="N94" s="27">
        <f>SUM('Rate Base'!P94+'Rate Base (RCN)'!P94)/2</f>
        <v>229922</v>
      </c>
      <c r="O94" s="27">
        <f>SUM('Rate Base'!Q94+'Rate Base (RCN)'!Q94)/2</f>
        <v>0</v>
      </c>
      <c r="P94" s="27">
        <f>SUM('Rate Base'!R94+'Rate Base (RCN)'!R94)/2</f>
        <v>0</v>
      </c>
    </row>
    <row r="95" spans="1:16">
      <c r="A95" s="247" t="s">
        <v>420</v>
      </c>
      <c r="B95" s="189">
        <v>393</v>
      </c>
      <c r="C95" s="3" t="s">
        <v>124</v>
      </c>
      <c r="D95" s="193">
        <f>ROUND(SUM('Rate Base'!F95+'Rate Base (RCN)'!F95)/2,0)</f>
        <v>188536</v>
      </c>
      <c r="E95" s="27">
        <f t="shared" si="13"/>
        <v>-24438.202116970053</v>
      </c>
      <c r="F95" s="31">
        <f t="shared" si="14"/>
        <v>164097.79788302994</v>
      </c>
      <c r="G95" s="27">
        <f>SUM('Rate Base'!I95+'Rate Base (RCN)'!I95)/2</f>
        <v>0</v>
      </c>
      <c r="H95" s="27">
        <f>SUM('Rate Base'!J95+'Rate Base (RCN)'!J95)/2</f>
        <v>0</v>
      </c>
      <c r="I95" s="27">
        <f>SUM('Rate Base'!K95+'Rate Base (RCN)'!K95)/2</f>
        <v>-8597.9421169700508</v>
      </c>
      <c r="J95" s="27">
        <f>SUM('Rate Base'!L95+'Rate Base (RCN)'!L95)/2</f>
        <v>0</v>
      </c>
      <c r="K95" s="27">
        <f>SUM('Rate Base'!M95+'Rate Base (RCN)'!M95)/2</f>
        <v>0</v>
      </c>
      <c r="L95" s="27">
        <f>SUM('Rate Base'!N95+'Rate Base (RCN)'!N95)/2</f>
        <v>0</v>
      </c>
      <c r="M95" s="27">
        <f>SUM('Rate Base'!O95+'Rate Base (RCN)'!O95)/2</f>
        <v>0</v>
      </c>
      <c r="N95" s="27">
        <f>SUM('Rate Base'!P95+'Rate Base (RCN)'!P95)/2</f>
        <v>0</v>
      </c>
      <c r="O95" s="27">
        <f>SUM('Rate Base'!Q95+'Rate Base (RCN)'!Q95)/2</f>
        <v>-15840.26</v>
      </c>
      <c r="P95" s="27">
        <f>SUM('Rate Base'!R95+'Rate Base (RCN)'!R95)/2</f>
        <v>0</v>
      </c>
    </row>
    <row r="96" spans="1:16">
      <c r="A96" s="247" t="s">
        <v>421</v>
      </c>
      <c r="B96" s="189">
        <v>394</v>
      </c>
      <c r="C96" s="3" t="s">
        <v>294</v>
      </c>
      <c r="D96" s="193">
        <f>ROUND(SUM('Rate Base'!F96+'Rate Base (RCN)'!F96)/2,0)</f>
        <v>2930471</v>
      </c>
      <c r="E96" s="27">
        <f t="shared" si="13"/>
        <v>-384465.04682255368</v>
      </c>
      <c r="F96" s="31">
        <f t="shared" si="14"/>
        <v>2546005.9531774465</v>
      </c>
      <c r="G96" s="27">
        <f>SUM('Rate Base'!I96+'Rate Base (RCN)'!I96)/2</f>
        <v>0</v>
      </c>
      <c r="H96" s="27">
        <f>SUM('Rate Base'!J96+'Rate Base (RCN)'!J96)/2</f>
        <v>0</v>
      </c>
      <c r="I96" s="27">
        <f>SUM('Rate Base'!K96+'Rate Base (RCN)'!K96)/2</f>
        <v>-47525.386822553701</v>
      </c>
      <c r="J96" s="27">
        <f>SUM('Rate Base'!L96+'Rate Base (RCN)'!L96)/2</f>
        <v>0</v>
      </c>
      <c r="K96" s="27">
        <f>SUM('Rate Base'!M96+'Rate Base (RCN)'!M96)/2</f>
        <v>0</v>
      </c>
      <c r="L96" s="27">
        <f>SUM('Rate Base'!N96+'Rate Base (RCN)'!N96)/2</f>
        <v>0</v>
      </c>
      <c r="M96" s="27">
        <f>SUM('Rate Base'!O96+'Rate Base (RCN)'!O96)/2</f>
        <v>0</v>
      </c>
      <c r="N96" s="27">
        <f>SUM('Rate Base'!P96+'Rate Base (RCN)'!P96)/2</f>
        <v>24595</v>
      </c>
      <c r="O96" s="27">
        <f>SUM('Rate Base'!Q96+'Rate Base (RCN)'!Q96)/2</f>
        <v>-361534.66</v>
      </c>
      <c r="P96" s="27">
        <f>SUM('Rate Base'!R96+'Rate Base (RCN)'!R96)/2</f>
        <v>0</v>
      </c>
    </row>
    <row r="97" spans="1:16">
      <c r="A97" s="247" t="s">
        <v>422</v>
      </c>
      <c r="B97" s="189">
        <v>395</v>
      </c>
      <c r="C97" s="3" t="s">
        <v>126</v>
      </c>
      <c r="D97" s="193">
        <f>ROUND(SUM('Rate Base'!F97+'Rate Base (RCN)'!F97)/2,0)</f>
        <v>53094</v>
      </c>
      <c r="E97" s="27">
        <f t="shared" si="13"/>
        <v>0</v>
      </c>
      <c r="F97" s="31">
        <f t="shared" si="14"/>
        <v>53094</v>
      </c>
      <c r="G97" s="27">
        <f>SUM('Rate Base'!I97+'Rate Base (RCN)'!I97)/2</f>
        <v>0</v>
      </c>
      <c r="H97" s="27">
        <f>SUM('Rate Base'!J97+'Rate Base (RCN)'!J97)/2</f>
        <v>0</v>
      </c>
      <c r="I97" s="27">
        <f>SUM('Rate Base'!K97+'Rate Base (RCN)'!K97)/2</f>
        <v>0</v>
      </c>
      <c r="J97" s="27">
        <f>SUM('Rate Base'!L97+'Rate Base (RCN)'!L97)/2</f>
        <v>0</v>
      </c>
      <c r="K97" s="27">
        <f>SUM('Rate Base'!M97+'Rate Base (RCN)'!M97)/2</f>
        <v>0</v>
      </c>
      <c r="L97" s="27">
        <f>SUM('Rate Base'!N97+'Rate Base (RCN)'!N97)/2</f>
        <v>0</v>
      </c>
      <c r="M97" s="27">
        <f>SUM('Rate Base'!O97+'Rate Base (RCN)'!O97)/2</f>
        <v>0</v>
      </c>
      <c r="N97" s="27">
        <f>SUM('Rate Base'!P97+'Rate Base (RCN)'!P97)/2</f>
        <v>0</v>
      </c>
      <c r="O97" s="27">
        <f>SUM('Rate Base'!Q97+'Rate Base (RCN)'!Q97)/2</f>
        <v>0</v>
      </c>
      <c r="P97" s="27">
        <f>SUM('Rate Base'!R97+'Rate Base (RCN)'!R97)/2</f>
        <v>0</v>
      </c>
    </row>
    <row r="98" spans="1:16">
      <c r="A98" s="247" t="s">
        <v>423</v>
      </c>
      <c r="B98" s="189">
        <v>396</v>
      </c>
      <c r="C98" s="3" t="s">
        <v>127</v>
      </c>
      <c r="D98" s="193">
        <f>ROUND(SUM('Rate Base'!F98+'Rate Base (RCN)'!F98)/2,0)</f>
        <v>1811092</v>
      </c>
      <c r="E98" s="27">
        <f t="shared" si="13"/>
        <v>53626.8</v>
      </c>
      <c r="F98" s="31">
        <f t="shared" si="14"/>
        <v>1864718.8</v>
      </c>
      <c r="G98" s="27">
        <f>SUM('Rate Base'!I98+'Rate Base (RCN)'!I98)/2</f>
        <v>0</v>
      </c>
      <c r="H98" s="27">
        <f>SUM('Rate Base'!J98+'Rate Base (RCN)'!J98)/2</f>
        <v>0</v>
      </c>
      <c r="I98" s="27">
        <f>SUM('Rate Base'!K98+'Rate Base (RCN)'!K98)/2</f>
        <v>0</v>
      </c>
      <c r="J98" s="27">
        <f>SUM('Rate Base'!L98+'Rate Base (RCN)'!L98)/2</f>
        <v>0</v>
      </c>
      <c r="K98" s="27">
        <f>SUM('Rate Base'!M98+'Rate Base (RCN)'!M98)/2</f>
        <v>0</v>
      </c>
      <c r="L98" s="27">
        <f>SUM('Rate Base'!N98+'Rate Base (RCN)'!N98)/2</f>
        <v>0</v>
      </c>
      <c r="M98" s="27">
        <f>SUM('Rate Base'!O98+'Rate Base (RCN)'!O98)/2</f>
        <v>0</v>
      </c>
      <c r="N98" s="27">
        <f>SUM('Rate Base'!P98+'Rate Base (RCN)'!P98)/2</f>
        <v>40727</v>
      </c>
      <c r="O98" s="27">
        <f>SUM('Rate Base'!Q98+'Rate Base (RCN)'!Q98)/2</f>
        <v>12899.8</v>
      </c>
      <c r="P98" s="27">
        <f>SUM('Rate Base'!R98+'Rate Base (RCN)'!R98)/2</f>
        <v>0</v>
      </c>
    </row>
    <row r="99" spans="1:16">
      <c r="A99" s="247" t="s">
        <v>424</v>
      </c>
      <c r="B99" s="189">
        <v>397</v>
      </c>
      <c r="C99" s="3" t="s">
        <v>128</v>
      </c>
      <c r="D99" s="193">
        <f>ROUND(SUM('Rate Base'!F99+'Rate Base (RCN)'!F99)/2,0)</f>
        <v>1502364</v>
      </c>
      <c r="E99" s="27">
        <f t="shared" si="13"/>
        <v>6350</v>
      </c>
      <c r="F99" s="31">
        <f t="shared" si="14"/>
        <v>1508714</v>
      </c>
      <c r="G99" s="27">
        <f>SUM('Rate Base'!I99+'Rate Base (RCN)'!I99)/2</f>
        <v>0</v>
      </c>
      <c r="H99" s="27">
        <f>SUM('Rate Base'!J99+'Rate Base (RCN)'!J99)/2</f>
        <v>0</v>
      </c>
      <c r="I99" s="27">
        <f>SUM('Rate Base'!K99+'Rate Base (RCN)'!K99)/2</f>
        <v>0</v>
      </c>
      <c r="J99" s="27">
        <f>SUM('Rate Base'!L99+'Rate Base (RCN)'!L99)/2</f>
        <v>0</v>
      </c>
      <c r="K99" s="27">
        <f>SUM('Rate Base'!M99+'Rate Base (RCN)'!M99)/2</f>
        <v>0</v>
      </c>
      <c r="L99" s="27">
        <f>SUM('Rate Base'!N99+'Rate Base (RCN)'!N99)/2</f>
        <v>0</v>
      </c>
      <c r="M99" s="27">
        <f>SUM('Rate Base'!O99+'Rate Base (RCN)'!O99)/2</f>
        <v>0</v>
      </c>
      <c r="N99" s="27">
        <f>SUM('Rate Base'!P99+'Rate Base (RCN)'!P99)/2</f>
        <v>6350</v>
      </c>
      <c r="O99" s="27">
        <f>SUM('Rate Base'!Q99+'Rate Base (RCN)'!Q99)/2</f>
        <v>0</v>
      </c>
      <c r="P99" s="27">
        <f>SUM('Rate Base'!R99+'Rate Base (RCN)'!R99)/2</f>
        <v>0</v>
      </c>
    </row>
    <row r="100" spans="1:16">
      <c r="A100" s="247" t="s">
        <v>425</v>
      </c>
      <c r="B100" s="189">
        <v>398</v>
      </c>
      <c r="C100" s="3" t="s">
        <v>129</v>
      </c>
      <c r="D100" s="193">
        <f>ROUND(SUM('Rate Base'!F100+'Rate Base (RCN)'!F100)/2,0)</f>
        <v>295990</v>
      </c>
      <c r="E100" s="27">
        <f t="shared" si="13"/>
        <v>-10263.50457934957</v>
      </c>
      <c r="F100" s="31">
        <f t="shared" si="14"/>
        <v>285726.4954206504</v>
      </c>
      <c r="G100" s="27">
        <f>SUM('Rate Base'!I100+'Rate Base (RCN)'!I100)/2</f>
        <v>0</v>
      </c>
      <c r="H100" s="27">
        <f>SUM('Rate Base'!J100+'Rate Base (RCN)'!J100)/2</f>
        <v>0</v>
      </c>
      <c r="I100" s="27">
        <f>SUM('Rate Base'!K100+'Rate Base (RCN)'!K100)/2</f>
        <v>-5951.4245793495702</v>
      </c>
      <c r="J100" s="27">
        <f>SUM('Rate Base'!L100+'Rate Base (RCN)'!L100)/2</f>
        <v>0</v>
      </c>
      <c r="K100" s="27">
        <f>SUM('Rate Base'!M100+'Rate Base (RCN)'!M100)/2</f>
        <v>0</v>
      </c>
      <c r="L100" s="27">
        <f>SUM('Rate Base'!N100+'Rate Base (RCN)'!N100)/2</f>
        <v>0</v>
      </c>
      <c r="M100" s="27">
        <f>SUM('Rate Base'!O100+'Rate Base (RCN)'!O100)/2</f>
        <v>0</v>
      </c>
      <c r="N100" s="27">
        <f>SUM('Rate Base'!P100+'Rate Base (RCN)'!P100)/2</f>
        <v>-4921</v>
      </c>
      <c r="O100" s="27">
        <f>SUM('Rate Base'!Q100+'Rate Base (RCN)'!Q100)/2</f>
        <v>608.91999999999996</v>
      </c>
      <c r="P100" s="27">
        <f>SUM('Rate Base'!R100+'Rate Base (RCN)'!R100)/2</f>
        <v>0</v>
      </c>
    </row>
    <row r="101" spans="1:16">
      <c r="A101" s="248" t="s">
        <v>257</v>
      </c>
      <c r="B101" s="221"/>
      <c r="C101" s="285"/>
      <c r="D101" s="193"/>
      <c r="E101" s="27"/>
      <c r="F101" s="31"/>
      <c r="G101" s="27"/>
      <c r="H101" s="27"/>
      <c r="I101" s="27"/>
      <c r="J101" s="27"/>
      <c r="K101" s="27"/>
      <c r="L101" s="27"/>
      <c r="M101" s="27"/>
      <c r="N101" s="27"/>
      <c r="O101" s="27"/>
      <c r="P101" s="27"/>
    </row>
    <row r="102" spans="1:16" s="28" customFormat="1">
      <c r="B102" s="189"/>
      <c r="C102" s="36" t="s">
        <v>295</v>
      </c>
      <c r="D102" s="194">
        <f>SUM(D91:D101)</f>
        <v>24633214</v>
      </c>
      <c r="E102" s="195">
        <f>SUM(E91:E101)</f>
        <v>-241951.32677614476</v>
      </c>
      <c r="F102" s="196">
        <f>SUM(F91:F101)</f>
        <v>24391262.673223857</v>
      </c>
      <c r="G102" s="27"/>
      <c r="H102" s="27"/>
      <c r="I102" s="27"/>
      <c r="J102" s="27"/>
      <c r="K102" s="27"/>
      <c r="L102" s="27"/>
      <c r="M102" s="27"/>
      <c r="N102" s="27"/>
      <c r="O102" s="27"/>
      <c r="P102" s="27"/>
    </row>
    <row r="103" spans="1:16">
      <c r="D103" s="404"/>
      <c r="E103" s="182"/>
      <c r="F103" s="200"/>
      <c r="G103" s="27"/>
      <c r="H103" s="27"/>
      <c r="I103" s="27"/>
      <c r="J103" s="27"/>
      <c r="K103" s="27"/>
      <c r="L103" s="27"/>
      <c r="M103" s="27"/>
      <c r="N103" s="27"/>
      <c r="O103" s="27"/>
      <c r="P103" s="27"/>
    </row>
    <row r="104" spans="1:16" s="28" customFormat="1">
      <c r="B104" s="189"/>
      <c r="C104" s="21" t="s">
        <v>296</v>
      </c>
      <c r="D104" s="208"/>
      <c r="E104" s="182"/>
      <c r="F104" s="216"/>
      <c r="G104" s="27"/>
      <c r="H104" s="27"/>
      <c r="I104" s="27"/>
      <c r="J104" s="27"/>
      <c r="K104" s="27"/>
      <c r="L104" s="27"/>
      <c r="M104" s="27"/>
      <c r="N104" s="27"/>
      <c r="O104" s="27"/>
      <c r="P104" s="27"/>
    </row>
    <row r="105" spans="1:16" s="28" customFormat="1">
      <c r="B105" s="189" t="s">
        <v>297</v>
      </c>
      <c r="C105" s="3" t="s">
        <v>298</v>
      </c>
      <c r="D105" s="193">
        <f>+D63</f>
        <v>131016</v>
      </c>
      <c r="E105" s="182">
        <f>+E63</f>
        <v>247505.54672492415</v>
      </c>
      <c r="F105" s="216">
        <f>+F63</f>
        <v>378521.54672492418</v>
      </c>
      <c r="G105" s="27"/>
      <c r="H105" s="27"/>
      <c r="I105" s="27"/>
      <c r="J105" s="27"/>
      <c r="K105" s="27"/>
      <c r="L105" s="27"/>
      <c r="M105" s="27"/>
      <c r="N105" s="27"/>
      <c r="O105" s="27"/>
      <c r="P105" s="27"/>
    </row>
    <row r="106" spans="1:16" s="28" customFormat="1">
      <c r="B106" s="189" t="s">
        <v>297</v>
      </c>
      <c r="C106" s="3" t="s">
        <v>299</v>
      </c>
      <c r="D106" s="193">
        <f>+D72</f>
        <v>28498975</v>
      </c>
      <c r="E106" s="182">
        <f>+E72</f>
        <v>-5342524.3562300131</v>
      </c>
      <c r="F106" s="216">
        <f>+F72</f>
        <v>23156450.643769983</v>
      </c>
      <c r="G106" s="27"/>
      <c r="H106" s="27"/>
      <c r="I106" s="27"/>
      <c r="J106" s="27"/>
      <c r="K106" s="27"/>
      <c r="L106" s="27"/>
      <c r="M106" s="27"/>
      <c r="N106" s="27"/>
      <c r="O106" s="27"/>
      <c r="P106" s="27"/>
    </row>
    <row r="107" spans="1:16" s="28" customFormat="1">
      <c r="B107" s="189" t="s">
        <v>297</v>
      </c>
      <c r="C107" s="12" t="s">
        <v>300</v>
      </c>
      <c r="D107" s="33">
        <f>+D88</f>
        <v>394468329</v>
      </c>
      <c r="E107" s="182">
        <f>+E88</f>
        <v>-37455758.600239523</v>
      </c>
      <c r="F107" s="216">
        <f>+F88</f>
        <v>357012570.39976048</v>
      </c>
      <c r="G107" s="27"/>
      <c r="H107" s="27"/>
      <c r="I107" s="27"/>
      <c r="J107" s="27"/>
      <c r="K107" s="27"/>
      <c r="L107" s="27"/>
      <c r="M107" s="27"/>
      <c r="N107" s="27"/>
      <c r="O107" s="27"/>
      <c r="P107" s="27"/>
    </row>
    <row r="108" spans="1:16" s="28" customFormat="1">
      <c r="B108" s="189" t="s">
        <v>297</v>
      </c>
      <c r="C108" s="3" t="s">
        <v>301</v>
      </c>
      <c r="D108" s="193">
        <f>+D102</f>
        <v>24633214</v>
      </c>
      <c r="E108" s="182">
        <f>+E102</f>
        <v>-241951.32677614476</v>
      </c>
      <c r="F108" s="216">
        <f>+F102</f>
        <v>24391262.673223857</v>
      </c>
      <c r="G108" s="27"/>
      <c r="H108" s="27"/>
      <c r="I108" s="27"/>
      <c r="J108" s="27"/>
      <c r="K108" s="27"/>
      <c r="L108" s="27"/>
      <c r="M108" s="27"/>
      <c r="N108" s="27"/>
      <c r="O108" s="27"/>
      <c r="P108" s="27"/>
    </row>
    <row r="109" spans="1:16" ht="13.8" thickBot="1">
      <c r="B109" s="206"/>
      <c r="C109" s="29" t="s">
        <v>21</v>
      </c>
      <c r="D109" s="213">
        <f>SUM(D105:D108)</f>
        <v>447731534</v>
      </c>
      <c r="E109" s="214">
        <f>SUM(E105:E108)</f>
        <v>-42792728.73652076</v>
      </c>
      <c r="F109" s="215">
        <f>SUM(F105:F108)</f>
        <v>404938805.26347923</v>
      </c>
      <c r="G109" s="27"/>
      <c r="H109" s="27"/>
      <c r="I109" s="27"/>
      <c r="J109" s="27"/>
      <c r="K109" s="27"/>
      <c r="L109" s="27"/>
      <c r="M109" s="27"/>
      <c r="N109" s="27"/>
      <c r="O109" s="27"/>
      <c r="P109" s="27"/>
    </row>
    <row r="110" spans="1:16" ht="13.8" thickTop="1">
      <c r="D110" s="30"/>
      <c r="E110" s="182"/>
      <c r="F110" s="200"/>
      <c r="G110" s="27"/>
      <c r="H110" s="27"/>
      <c r="I110" s="27"/>
      <c r="J110" s="27"/>
      <c r="K110" s="27"/>
      <c r="L110" s="27"/>
      <c r="M110" s="27"/>
      <c r="N110" s="27"/>
      <c r="O110" s="27"/>
      <c r="P110" s="27"/>
    </row>
    <row r="111" spans="1:16" s="28" customFormat="1">
      <c r="B111" s="189"/>
      <c r="C111" s="21" t="s">
        <v>302</v>
      </c>
      <c r="D111" s="208"/>
      <c r="E111" s="182"/>
      <c r="F111" s="21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1:16" s="28" customFormat="1">
      <c r="B112" s="189"/>
      <c r="C112" s="3" t="s">
        <v>133</v>
      </c>
      <c r="D112" s="193">
        <f t="shared" ref="D112:F115" si="15">+D52-D105</f>
        <v>325227</v>
      </c>
      <c r="E112" s="182">
        <f t="shared" si="15"/>
        <v>1092877.4532750759</v>
      </c>
      <c r="F112" s="216">
        <f t="shared" si="15"/>
        <v>1418104.4532750759</v>
      </c>
      <c r="G112" s="27"/>
      <c r="H112" s="27"/>
      <c r="I112" s="27"/>
      <c r="J112" s="27"/>
      <c r="K112" s="27"/>
      <c r="L112" s="27"/>
      <c r="M112" s="27"/>
      <c r="N112" s="27"/>
      <c r="O112" s="27"/>
      <c r="P112" s="27"/>
    </row>
    <row r="113" spans="2:16" s="28" customFormat="1">
      <c r="B113" s="189"/>
      <c r="C113" s="3" t="s">
        <v>135</v>
      </c>
      <c r="D113" s="193">
        <f t="shared" si="15"/>
        <v>20785863</v>
      </c>
      <c r="E113" s="182">
        <f t="shared" si="15"/>
        <v>-1820471.343769988</v>
      </c>
      <c r="F113" s="216">
        <f t="shared" si="15"/>
        <v>18965391.656230021</v>
      </c>
      <c r="G113" s="27"/>
      <c r="H113" s="27"/>
      <c r="I113" s="27"/>
      <c r="J113" s="27"/>
      <c r="K113" s="27"/>
      <c r="L113" s="27"/>
      <c r="M113" s="27"/>
      <c r="N113" s="27"/>
      <c r="O113" s="27"/>
      <c r="P113" s="27"/>
    </row>
    <row r="114" spans="2:16" s="28" customFormat="1">
      <c r="B114" s="189"/>
      <c r="C114" s="12" t="s">
        <v>136</v>
      </c>
      <c r="D114" s="193">
        <f t="shared" si="15"/>
        <v>476170111</v>
      </c>
      <c r="E114" s="182">
        <f t="shared" si="15"/>
        <v>21824837.915690824</v>
      </c>
      <c r="F114" s="216">
        <f t="shared" si="15"/>
        <v>497994948.91569078</v>
      </c>
      <c r="G114" s="27"/>
      <c r="H114" s="27"/>
      <c r="I114" s="27"/>
      <c r="J114" s="27"/>
      <c r="K114" s="27"/>
      <c r="L114" s="27"/>
      <c r="M114" s="27"/>
      <c r="N114" s="27"/>
      <c r="O114" s="27"/>
      <c r="P114" s="27"/>
    </row>
    <row r="115" spans="2:16" s="28" customFormat="1">
      <c r="B115" s="189"/>
      <c r="C115" s="3" t="s">
        <v>137</v>
      </c>
      <c r="D115" s="193">
        <f t="shared" si="15"/>
        <v>38874760</v>
      </c>
      <c r="E115" s="182">
        <f t="shared" si="15"/>
        <v>5865065.3367761448</v>
      </c>
      <c r="F115" s="216">
        <f t="shared" si="15"/>
        <v>44739825.336776137</v>
      </c>
      <c r="G115" s="27"/>
      <c r="H115" s="27"/>
      <c r="I115" s="27"/>
      <c r="J115" s="27"/>
      <c r="K115" s="27"/>
      <c r="L115" s="27"/>
      <c r="M115" s="27"/>
      <c r="N115" s="27"/>
      <c r="O115" s="27"/>
      <c r="P115" s="27"/>
    </row>
    <row r="116" spans="2:16" ht="13.8" thickBot="1">
      <c r="B116" s="206"/>
      <c r="C116" s="29" t="s">
        <v>303</v>
      </c>
      <c r="D116" s="213">
        <f>SUM(D112:D115)</f>
        <v>536155961</v>
      </c>
      <c r="E116" s="214">
        <f>SUM(E112:E115)</f>
        <v>26962309.361972056</v>
      </c>
      <c r="F116" s="215">
        <f>SUM(F112:F115)</f>
        <v>563118270.36197209</v>
      </c>
      <c r="G116" s="27"/>
      <c r="H116" s="27"/>
      <c r="I116" s="27"/>
      <c r="J116" s="27"/>
      <c r="K116" s="27"/>
      <c r="L116" s="27"/>
      <c r="M116" s="27"/>
      <c r="N116" s="27"/>
      <c r="O116" s="27"/>
      <c r="P116" s="27"/>
    </row>
    <row r="117" spans="2:16" ht="13.8" thickTop="1">
      <c r="D117" s="30"/>
      <c r="E117" s="182"/>
      <c r="F117" s="200"/>
      <c r="G117" s="27"/>
      <c r="H117" s="27"/>
      <c r="I117" s="27"/>
      <c r="J117" s="27"/>
      <c r="K117" s="27"/>
      <c r="L117" s="27"/>
      <c r="M117" s="27"/>
      <c r="N117" s="27"/>
      <c r="O117" s="27"/>
      <c r="P117" s="27"/>
    </row>
    <row r="118" spans="2:16">
      <c r="B118" s="197"/>
      <c r="C118" s="21" t="s">
        <v>6</v>
      </c>
      <c r="D118" s="191"/>
      <c r="E118" s="182"/>
      <c r="F118" s="216"/>
      <c r="G118" s="27"/>
      <c r="H118" s="27"/>
      <c r="I118" s="27"/>
      <c r="J118" s="27"/>
      <c r="K118" s="27"/>
      <c r="L118" s="27"/>
      <c r="M118" s="27"/>
      <c r="N118" s="27"/>
      <c r="O118" s="27"/>
      <c r="P118" s="27"/>
    </row>
    <row r="119" spans="2:16">
      <c r="B119" s="182" t="s">
        <v>22</v>
      </c>
      <c r="C119" s="3" t="s">
        <v>23</v>
      </c>
      <c r="D119" s="193">
        <f>ROUND(SUM('Rate Base'!F119+'Rate Base (RCN)'!F119)/2,0)</f>
        <v>0</v>
      </c>
      <c r="E119" s="27">
        <f>SUM(G119:P119)</f>
        <v>-5304562.0382017521</v>
      </c>
      <c r="F119" s="31">
        <f>D119+E119</f>
        <v>-5304562.0382017521</v>
      </c>
      <c r="G119" s="27">
        <f>SUM('Rate Base'!I119+'Rate Base (RCN)'!I119)/2</f>
        <v>0</v>
      </c>
      <c r="H119" s="27">
        <f>SUM('Rate Base'!J119+'Rate Base (RCN)'!J119)/2</f>
        <v>0</v>
      </c>
      <c r="I119" s="27">
        <f>SUM('Rate Base'!K119+'Rate Base (RCN)'!K119)/2</f>
        <v>0</v>
      </c>
      <c r="J119" s="27">
        <f>SUM('Rate Base'!L119+'Rate Base (RCN)'!L119)/2</f>
        <v>0</v>
      </c>
      <c r="K119" s="27">
        <f>SUM('Rate Base'!M119+'Rate Base (RCN)'!M119)/2</f>
        <v>0</v>
      </c>
      <c r="L119" s="27">
        <f>SUM('Rate Base'!N119+'Rate Base (RCN)'!N119)/2</f>
        <v>0</v>
      </c>
      <c r="M119" s="27">
        <f>SUM('Rate Base'!O119+'Rate Base (RCN)'!O119)/2</f>
        <v>0</v>
      </c>
      <c r="N119" s="27">
        <f>SUM('Rate Base'!P119+'Rate Base (RCN)'!P119)/2</f>
        <v>0</v>
      </c>
      <c r="O119" s="27">
        <f>SUM('Rate Base'!Q119+'Rate Base (RCN)'!Q119)/2</f>
        <v>0</v>
      </c>
      <c r="P119" s="27">
        <f>SUM('Rate Base'!R119+'Rate Base (RCN)'!R119)/2</f>
        <v>-5304562.0382017521</v>
      </c>
    </row>
    <row r="120" spans="2:16">
      <c r="B120" s="182" t="s">
        <v>24</v>
      </c>
      <c r="C120" s="3" t="s">
        <v>25</v>
      </c>
      <c r="D120" s="193">
        <f>ROUND(SUM('Rate Base'!F120+'Rate Base (RCN)'!F120)/2,0)</f>
        <v>2757591</v>
      </c>
      <c r="E120" s="27">
        <f>SUM(G120:P120)</f>
        <v>-164808</v>
      </c>
      <c r="F120" s="31">
        <f>D120+E120</f>
        <v>2592783</v>
      </c>
      <c r="G120" s="27">
        <f>SUM('Rate Base'!I120+'Rate Base (RCN)'!I120)/2</f>
        <v>0</v>
      </c>
      <c r="H120" s="27">
        <f>SUM('Rate Base'!J120+'Rate Base (RCN)'!J120)/2</f>
        <v>0</v>
      </c>
      <c r="I120" s="27">
        <f>SUM('Rate Base'!K120+'Rate Base (RCN)'!K120)/2</f>
        <v>0</v>
      </c>
      <c r="J120" s="27">
        <f>SUM('Rate Base'!L120+'Rate Base (RCN)'!L120)/2</f>
        <v>0</v>
      </c>
      <c r="K120" s="27">
        <f>SUM('Rate Base'!M120+'Rate Base (RCN)'!M120)/2</f>
        <v>0</v>
      </c>
      <c r="L120" s="27">
        <f>SUM('Rate Base'!N120+'Rate Base (RCN)'!N120)/2</f>
        <v>0</v>
      </c>
      <c r="M120" s="27">
        <f>SUM('Rate Base'!O120+'Rate Base (RCN)'!O120)/2</f>
        <v>0</v>
      </c>
      <c r="N120" s="27">
        <f>SUM('Rate Base'!P120+'Rate Base (RCN)'!P120)/2</f>
        <v>0</v>
      </c>
      <c r="O120" s="27">
        <f>SUM('Rate Base'!Q120+'Rate Base (RCN)'!Q120)/2</f>
        <v>0</v>
      </c>
      <c r="P120" s="27">
        <f>SUM('Rate Base'!R120+'Rate Base (RCN)'!R120)/2</f>
        <v>-164808</v>
      </c>
    </row>
    <row r="121" spans="2:16">
      <c r="B121" s="205">
        <v>165</v>
      </c>
      <c r="C121" s="12" t="s">
        <v>26</v>
      </c>
      <c r="D121" s="193">
        <f>ROUND(SUM('Rate Base'!F121+'Rate Base (RCN)'!F121)/2,0)</f>
        <v>188413</v>
      </c>
      <c r="E121" s="27">
        <f>SUM(G121:P121)</f>
        <v>296611</v>
      </c>
      <c r="F121" s="31">
        <f>D121+E121</f>
        <v>485024</v>
      </c>
      <c r="G121" s="27">
        <f>SUM('Rate Base'!I121+'Rate Base (RCN)'!I121)/2</f>
        <v>0</v>
      </c>
      <c r="H121" s="27">
        <f>SUM('Rate Base'!J121+'Rate Base (RCN)'!J121)/2</f>
        <v>0</v>
      </c>
      <c r="I121" s="27">
        <f>SUM('Rate Base'!K121+'Rate Base (RCN)'!K121)/2</f>
        <v>0</v>
      </c>
      <c r="J121" s="27">
        <f>SUM('Rate Base'!L121+'Rate Base (RCN)'!L121)/2</f>
        <v>0</v>
      </c>
      <c r="K121" s="27">
        <f>SUM('Rate Base'!M121+'Rate Base (RCN)'!M121)/2</f>
        <v>0</v>
      </c>
      <c r="L121" s="27">
        <f>SUM('Rate Base'!N121+'Rate Base (RCN)'!N121)/2</f>
        <v>0</v>
      </c>
      <c r="M121" s="27">
        <f>SUM('Rate Base'!O121+'Rate Base (RCN)'!O121)/2</f>
        <v>0</v>
      </c>
      <c r="N121" s="27">
        <f>SUM('Rate Base'!P121+'Rate Base (RCN)'!P121)/2</f>
        <v>0</v>
      </c>
      <c r="O121" s="27">
        <f>SUM('Rate Base'!Q121+'Rate Base (RCN)'!Q121)/2</f>
        <v>0</v>
      </c>
      <c r="P121" s="27">
        <f>SUM('Rate Base'!R121+'Rate Base (RCN)'!R121)/2</f>
        <v>296611</v>
      </c>
    </row>
    <row r="122" spans="2:16">
      <c r="B122" s="206"/>
      <c r="C122" s="34" t="s">
        <v>27</v>
      </c>
      <c r="D122" s="194">
        <f>SUM(D119:D121)</f>
        <v>2946004</v>
      </c>
      <c r="E122" s="195">
        <f>SUM(E119:E121)</f>
        <v>-5172759.0382017521</v>
      </c>
      <c r="F122" s="196">
        <f>SUM(F119:F121)</f>
        <v>-2226755.0382017521</v>
      </c>
      <c r="G122" s="27"/>
      <c r="H122" s="27"/>
      <c r="I122" s="27"/>
      <c r="J122" s="27"/>
      <c r="K122" s="27"/>
      <c r="L122" s="27"/>
      <c r="M122" s="27"/>
      <c r="N122" s="27"/>
      <c r="O122" s="27"/>
      <c r="P122" s="27"/>
    </row>
    <row r="123" spans="2:16">
      <c r="B123" s="206"/>
      <c r="C123" s="35"/>
      <c r="D123" s="208"/>
      <c r="E123" s="182"/>
      <c r="F123" s="200"/>
      <c r="G123" s="27"/>
      <c r="H123" s="27"/>
      <c r="I123" s="27"/>
      <c r="J123" s="27"/>
      <c r="K123" s="27"/>
      <c r="L123" s="27"/>
      <c r="M123" s="27"/>
      <c r="N123" s="27"/>
      <c r="O123" s="27"/>
      <c r="P123" s="27"/>
    </row>
    <row r="124" spans="2:16">
      <c r="B124" s="189"/>
      <c r="C124" s="21" t="s">
        <v>28</v>
      </c>
      <c r="D124" s="222"/>
      <c r="E124" s="182"/>
      <c r="F124" s="216"/>
      <c r="G124" s="27"/>
      <c r="H124" s="27"/>
      <c r="I124" s="27"/>
      <c r="J124" s="27"/>
      <c r="K124" s="27"/>
      <c r="L124" s="27"/>
      <c r="M124" s="27"/>
      <c r="N124" s="27"/>
      <c r="O124" s="27"/>
      <c r="P124" s="27"/>
    </row>
    <row r="125" spans="2:16">
      <c r="B125" s="205">
        <v>252</v>
      </c>
      <c r="C125" s="12" t="s">
        <v>29</v>
      </c>
      <c r="D125" s="193">
        <f>ROUND(SUM('Rate Base'!F125+'Rate Base (RCN)'!F125)/2,0)</f>
        <v>-5928881</v>
      </c>
      <c r="E125" s="27">
        <f>SUM(G125:P125)</f>
        <v>0</v>
      </c>
      <c r="F125" s="31">
        <f>D125+E125</f>
        <v>-5928881</v>
      </c>
      <c r="G125" s="27">
        <f>SUM('Rate Base'!I125+'Rate Base (RCN)'!I125)/2</f>
        <v>0</v>
      </c>
      <c r="H125" s="27">
        <f>SUM('Rate Base'!J125+'Rate Base (RCN)'!J125)/2</f>
        <v>0</v>
      </c>
      <c r="I125" s="27">
        <f>SUM('Rate Base'!K125+'Rate Base (RCN)'!K125)/2</f>
        <v>0</v>
      </c>
      <c r="J125" s="27">
        <f>SUM('Rate Base'!L125+'Rate Base (RCN)'!L125)/2</f>
        <v>0</v>
      </c>
      <c r="K125" s="27">
        <f>SUM('Rate Base'!M125+'Rate Base (RCN)'!M125)/2</f>
        <v>0</v>
      </c>
      <c r="L125" s="27">
        <f>SUM('Rate Base'!N125+'Rate Base (RCN)'!N125)/2</f>
        <v>0</v>
      </c>
      <c r="M125" s="27">
        <f>SUM('Rate Base'!O125+'Rate Base (RCN)'!O125)/2</f>
        <v>0</v>
      </c>
      <c r="N125" s="27">
        <f>SUM('Rate Base'!P125+'Rate Base (RCN)'!P125)/2</f>
        <v>0</v>
      </c>
      <c r="O125" s="27">
        <f>SUM('Rate Base'!Q125+'Rate Base (RCN)'!Q125)/2</f>
        <v>0</v>
      </c>
      <c r="P125" s="27">
        <f>SUM('Rate Base'!R125+'Rate Base (RCN)'!R125)/2</f>
        <v>0</v>
      </c>
    </row>
    <row r="126" spans="2:16">
      <c r="B126" s="205">
        <v>235</v>
      </c>
      <c r="C126" s="12" t="s">
        <v>30</v>
      </c>
      <c r="D126" s="193">
        <f>ROUND(SUM('Rate Base'!F126+'Rate Base (RCN)'!F126)/2,0)</f>
        <v>-1598823</v>
      </c>
      <c r="E126" s="27">
        <f>SUM(G126:P126)</f>
        <v>0</v>
      </c>
      <c r="F126" s="31">
        <f>D126+E126</f>
        <v>-1598823</v>
      </c>
      <c r="G126" s="27">
        <f>SUM('Rate Base'!I126+'Rate Base (RCN)'!I126)/2</f>
        <v>0</v>
      </c>
      <c r="H126" s="27">
        <f>SUM('Rate Base'!J126+'Rate Base (RCN)'!J126)/2</f>
        <v>0</v>
      </c>
      <c r="I126" s="27">
        <f>SUM('Rate Base'!K126+'Rate Base (RCN)'!K126)/2</f>
        <v>0</v>
      </c>
      <c r="J126" s="27">
        <f>SUM('Rate Base'!L126+'Rate Base (RCN)'!L126)/2</f>
        <v>0</v>
      </c>
      <c r="K126" s="27">
        <f>SUM('Rate Base'!M126+'Rate Base (RCN)'!M126)/2</f>
        <v>0</v>
      </c>
      <c r="L126" s="27">
        <f>SUM('Rate Base'!N126+'Rate Base (RCN)'!N126)/2</f>
        <v>0</v>
      </c>
      <c r="M126" s="27">
        <f>SUM('Rate Base'!O126+'Rate Base (RCN)'!O126)/2</f>
        <v>0</v>
      </c>
      <c r="N126" s="27">
        <f>SUM('Rate Base'!P126+'Rate Base (RCN)'!P126)/2</f>
        <v>0</v>
      </c>
      <c r="O126" s="27">
        <f>SUM('Rate Base'!Q126+'Rate Base (RCN)'!Q126)/2</f>
        <v>0</v>
      </c>
      <c r="P126" s="27">
        <f>SUM('Rate Base'!R126+'Rate Base (RCN)'!R126)/2</f>
        <v>0</v>
      </c>
    </row>
    <row r="127" spans="2:16">
      <c r="B127" s="206"/>
      <c r="C127" s="36" t="s">
        <v>31</v>
      </c>
      <c r="D127" s="194">
        <f>SUM(D125:D126)</f>
        <v>-7527704</v>
      </c>
      <c r="E127" s="195">
        <f>SUM(E125:E126)</f>
        <v>0</v>
      </c>
      <c r="F127" s="196">
        <f>SUM(F125:F126)</f>
        <v>-7527704</v>
      </c>
      <c r="G127" s="27"/>
      <c r="H127" s="27"/>
      <c r="I127" s="27"/>
      <c r="J127" s="27"/>
      <c r="K127" s="27"/>
      <c r="L127" s="27"/>
      <c r="M127" s="27"/>
      <c r="N127" s="27"/>
      <c r="O127" s="27"/>
      <c r="P127" s="27"/>
    </row>
    <row r="128" spans="2:16">
      <c r="D128" s="222"/>
      <c r="E128" s="182"/>
      <c r="F128" s="216"/>
    </row>
    <row r="129" spans="2:16" ht="13.8" thickBot="1">
      <c r="B129" s="206"/>
      <c r="C129" s="29" t="s">
        <v>32</v>
      </c>
      <c r="D129" s="38">
        <f>+D116+D122+D127</f>
        <v>531574261</v>
      </c>
      <c r="E129" s="24">
        <f>+E116+E122+E127</f>
        <v>21789550.323770303</v>
      </c>
      <c r="F129" s="39">
        <f>+F116+F122+F127</f>
        <v>553363811.32377028</v>
      </c>
      <c r="G129" s="27"/>
      <c r="H129" s="27"/>
      <c r="I129" s="27"/>
      <c r="J129" s="27"/>
      <c r="K129" s="27"/>
      <c r="L129" s="27"/>
      <c r="M129" s="27"/>
      <c r="N129" s="27"/>
      <c r="O129" s="27"/>
      <c r="P129" s="27"/>
    </row>
    <row r="130" spans="2:16" ht="13.8" thickTop="1">
      <c r="B130" s="206"/>
      <c r="C130" s="21"/>
      <c r="D130" s="404"/>
      <c r="E130" s="182"/>
      <c r="F130" s="216"/>
      <c r="G130" s="27"/>
      <c r="H130" s="27"/>
      <c r="I130" s="27"/>
      <c r="J130" s="27"/>
      <c r="K130" s="27"/>
      <c r="L130" s="27"/>
      <c r="M130" s="27"/>
      <c r="N130" s="27"/>
      <c r="O130" s="27"/>
      <c r="P130" s="27"/>
    </row>
    <row r="131" spans="2:16">
      <c r="B131" s="206"/>
      <c r="C131" s="21" t="s">
        <v>33</v>
      </c>
      <c r="D131" s="223"/>
      <c r="E131" s="182"/>
      <c r="F131" s="216"/>
      <c r="G131" s="27"/>
      <c r="H131" s="27"/>
      <c r="I131" s="27"/>
      <c r="J131" s="27"/>
      <c r="K131" s="27"/>
      <c r="L131" s="27"/>
      <c r="M131" s="27"/>
      <c r="N131" s="27"/>
      <c r="O131" s="27"/>
      <c r="P131" s="27"/>
    </row>
    <row r="132" spans="2:16">
      <c r="B132" s="206"/>
      <c r="C132" s="283" t="s">
        <v>1774</v>
      </c>
      <c r="D132" s="193">
        <f>ROUND(SUM('Rate Base'!F132+'Rate Base (RCN)'!F132)/2,0)</f>
        <v>0</v>
      </c>
      <c r="E132" s="27">
        <f>SUM(G132:P132)</f>
        <v>0</v>
      </c>
      <c r="F132" s="216">
        <f>D132+E132</f>
        <v>0</v>
      </c>
      <c r="G132" s="27">
        <f>SUM('Rate Base'!I132+'Rate Base (RCN)'!I132)/2</f>
        <v>0</v>
      </c>
      <c r="H132" s="27">
        <f>SUM('Rate Base'!J132+'Rate Base (RCN)'!J132)/2</f>
        <v>0</v>
      </c>
      <c r="I132" s="27">
        <f>SUM('Rate Base'!K132+'Rate Base (RCN)'!K132)/2</f>
        <v>0</v>
      </c>
      <c r="J132" s="27">
        <f>SUM('Rate Base'!L132+'Rate Base (RCN)'!L132)/2</f>
        <v>0</v>
      </c>
      <c r="K132" s="27">
        <f>SUM('Rate Base'!M132+'Rate Base (RCN)'!M132)/2</f>
        <v>0</v>
      </c>
      <c r="L132" s="27">
        <f>SUM('Rate Base'!N132+'Rate Base (RCN)'!N132)/2</f>
        <v>0</v>
      </c>
      <c r="M132" s="27">
        <f>SUM('Rate Base'!O132+'Rate Base (RCN)'!O132)/2</f>
        <v>0</v>
      </c>
      <c r="N132" s="27">
        <f>SUM('Rate Base'!P132+'Rate Base (RCN)'!P132)/2</f>
        <v>0</v>
      </c>
      <c r="O132" s="27">
        <f>SUM('Rate Base'!Q132+'Rate Base (RCN)'!Q132)/2</f>
        <v>0</v>
      </c>
      <c r="P132" s="27">
        <f>SUM('Rate Base'!R132+'Rate Base (RCN)'!R132)/2</f>
        <v>0</v>
      </c>
    </row>
    <row r="133" spans="2:16">
      <c r="B133" s="40">
        <v>182.3</v>
      </c>
      <c r="C133" s="12" t="s">
        <v>428</v>
      </c>
      <c r="D133" s="193">
        <f>ROUND(SUM('Rate Base'!F133+'Rate Base (RCN)'!F133)/2,0)</f>
        <v>1094519</v>
      </c>
      <c r="E133" s="27">
        <f>SUM(G133:P133)</f>
        <v>0</v>
      </c>
      <c r="F133" s="216">
        <f>D133+E133</f>
        <v>1094519</v>
      </c>
      <c r="G133" s="27">
        <f>SUM('Rate Base'!I133+'Rate Base (RCN)'!I133)/2</f>
        <v>0</v>
      </c>
      <c r="H133" s="27">
        <f>SUM('Rate Base'!J133+'Rate Base (RCN)'!J133)/2</f>
        <v>0</v>
      </c>
      <c r="I133" s="27">
        <f>SUM('Rate Base'!K133+'Rate Base (RCN)'!K133)/2</f>
        <v>0</v>
      </c>
      <c r="J133" s="27">
        <f>SUM('Rate Base'!L133+'Rate Base (RCN)'!L133)/2</f>
        <v>0</v>
      </c>
      <c r="K133" s="27">
        <f>SUM('Rate Base'!M133+'Rate Base (RCN)'!M133)/2</f>
        <v>0</v>
      </c>
      <c r="L133" s="27">
        <f>SUM('Rate Base'!N133+'Rate Base (RCN)'!N133)/2</f>
        <v>0</v>
      </c>
      <c r="M133" s="27">
        <f>SUM('Rate Base'!O133+'Rate Base (RCN)'!O133)/2</f>
        <v>0</v>
      </c>
      <c r="N133" s="27">
        <f>SUM('Rate Base'!P133+'Rate Base (RCN)'!P133)/2</f>
        <v>0</v>
      </c>
      <c r="O133" s="27">
        <f>SUM('Rate Base'!Q133+'Rate Base (RCN)'!Q133)/2</f>
        <v>0</v>
      </c>
      <c r="P133" s="27">
        <f>SUM('Rate Base'!R133+'Rate Base (RCN)'!R133)/2</f>
        <v>0</v>
      </c>
    </row>
    <row r="134" spans="2:16">
      <c r="B134" s="40">
        <v>182.3</v>
      </c>
      <c r="C134" s="12" t="s">
        <v>487</v>
      </c>
      <c r="D134" s="193">
        <f>ROUND(SUM('Rate Base'!F134+'Rate Base (RCN)'!F134)/2,0)</f>
        <v>-24912739</v>
      </c>
      <c r="E134" s="27">
        <f>SUM(G134:P134)</f>
        <v>-11195</v>
      </c>
      <c r="F134" s="216">
        <f>D134+E134</f>
        <v>-24923934</v>
      </c>
      <c r="G134" s="27">
        <f>SUM('Rate Base'!I134+'Rate Base (RCN)'!I134)/2</f>
        <v>-11195</v>
      </c>
      <c r="H134" s="27">
        <f>SUM('Rate Base'!J134+'Rate Base (RCN)'!J134)/2</f>
        <v>0</v>
      </c>
      <c r="I134" s="27">
        <f>SUM('Rate Base'!K134+'Rate Base (RCN)'!K134)/2</f>
        <v>0</v>
      </c>
      <c r="J134" s="27">
        <f>SUM('Rate Base'!L134+'Rate Base (RCN)'!L134)/2</f>
        <v>0</v>
      </c>
      <c r="K134" s="27">
        <f>SUM('Rate Base'!M134+'Rate Base (RCN)'!M134)/2</f>
        <v>0</v>
      </c>
      <c r="L134" s="27">
        <f>SUM('Rate Base'!N134+'Rate Base (RCN)'!N134)/2</f>
        <v>0</v>
      </c>
      <c r="M134" s="27">
        <f>SUM('Rate Base'!O134+'Rate Base (RCN)'!O134)/2</f>
        <v>0</v>
      </c>
      <c r="N134" s="27">
        <f>SUM('Rate Base'!P134+'Rate Base (RCN)'!P134)/2</f>
        <v>0</v>
      </c>
      <c r="O134" s="27">
        <f>SUM('Rate Base'!Q134+'Rate Base (RCN)'!Q134)/2</f>
        <v>0</v>
      </c>
      <c r="P134" s="27">
        <f>SUM('Rate Base'!R134+'Rate Base (RCN)'!R134)/2</f>
        <v>0</v>
      </c>
    </row>
    <row r="135" spans="2:16">
      <c r="B135" s="206"/>
      <c r="C135" s="36" t="s">
        <v>34</v>
      </c>
      <c r="D135" s="194">
        <f>SUM(D132:D134)</f>
        <v>-23818220</v>
      </c>
      <c r="E135" s="195">
        <f>SUM(E133:E134)</f>
        <v>-11195</v>
      </c>
      <c r="F135" s="196">
        <f>SUM(F132:F134)</f>
        <v>-23829415</v>
      </c>
      <c r="G135" s="27"/>
      <c r="H135" s="27"/>
      <c r="I135" s="27"/>
      <c r="J135" s="27"/>
      <c r="K135" s="27"/>
      <c r="L135" s="27"/>
      <c r="M135" s="27"/>
      <c r="N135" s="27"/>
      <c r="O135" s="27"/>
      <c r="P135" s="27"/>
    </row>
    <row r="136" spans="2:16">
      <c r="B136" s="206"/>
      <c r="C136" s="21"/>
      <c r="D136" s="404"/>
      <c r="E136" s="182"/>
      <c r="F136" s="200"/>
      <c r="G136" s="27"/>
      <c r="H136" s="27"/>
      <c r="I136" s="27"/>
      <c r="J136" s="27"/>
      <c r="K136" s="27"/>
      <c r="L136" s="27"/>
      <c r="M136" s="27"/>
      <c r="N136" s="27"/>
      <c r="O136" s="27"/>
      <c r="P136" s="27"/>
    </row>
    <row r="137" spans="2:16">
      <c r="B137" s="206"/>
      <c r="C137" s="21" t="s">
        <v>35</v>
      </c>
      <c r="D137" s="223"/>
      <c r="E137" s="182"/>
      <c r="F137" s="216"/>
      <c r="G137" s="27"/>
      <c r="H137" s="27"/>
      <c r="I137" s="27"/>
      <c r="J137" s="27"/>
      <c r="K137" s="27"/>
      <c r="L137" s="27"/>
      <c r="M137" s="27"/>
      <c r="N137" s="27"/>
      <c r="O137" s="27"/>
      <c r="P137" s="27"/>
    </row>
    <row r="138" spans="2:16">
      <c r="B138" s="189">
        <v>190</v>
      </c>
      <c r="C138" s="12" t="s">
        <v>36</v>
      </c>
      <c r="D138" s="193">
        <f>ROUND(SUM('Rate Base'!F138+'Rate Base (RCN)'!F138)/2,0)</f>
        <v>24144214</v>
      </c>
      <c r="E138" s="27">
        <f>SUM(G138:P138)</f>
        <v>-962865</v>
      </c>
      <c r="F138" s="31">
        <f>D138+E138</f>
        <v>23181349</v>
      </c>
      <c r="G138" s="27">
        <f>SUM('Rate Base'!I138+'Rate Base (RCN)'!I138)/2</f>
        <v>-962865</v>
      </c>
      <c r="H138" s="27">
        <f>SUM('Rate Base'!J138+'Rate Base (RCN)'!J138)/2</f>
        <v>0</v>
      </c>
      <c r="I138" s="27">
        <f>SUM('Rate Base'!K138+'Rate Base (RCN)'!K138)/2</f>
        <v>0</v>
      </c>
      <c r="J138" s="27">
        <f>SUM('Rate Base'!L138+'Rate Base (RCN)'!L138)/2</f>
        <v>0</v>
      </c>
      <c r="K138" s="27">
        <f>SUM('Rate Base'!M138+'Rate Base (RCN)'!M138)/2</f>
        <v>0</v>
      </c>
      <c r="L138" s="27">
        <f>SUM('Rate Base'!N138+'Rate Base (RCN)'!N138)/2</f>
        <v>0</v>
      </c>
      <c r="M138" s="27">
        <f>SUM('Rate Base'!O138+'Rate Base (RCN)'!O138)/2</f>
        <v>0</v>
      </c>
      <c r="N138" s="27">
        <f>SUM('Rate Base'!P138+'Rate Base (RCN)'!P138)/2</f>
        <v>0</v>
      </c>
      <c r="O138" s="27">
        <f>SUM('Rate Base'!Q138+'Rate Base (RCN)'!Q138)/2</f>
        <v>0</v>
      </c>
      <c r="P138" s="27">
        <f>SUM('Rate Base'!R138+'Rate Base (RCN)'!R138)/2</f>
        <v>0</v>
      </c>
    </row>
    <row r="139" spans="2:16">
      <c r="B139" s="189">
        <v>282</v>
      </c>
      <c r="C139" s="12" t="s">
        <v>37</v>
      </c>
      <c r="D139" s="193">
        <f>ROUND(SUM('Rate Base'!F139+'Rate Base (RCN)'!F139)/2,0)</f>
        <v>-86773879</v>
      </c>
      <c r="E139" s="27">
        <f>SUM(G139:P139)</f>
        <v>-758049.22108383104</v>
      </c>
      <c r="F139" s="31">
        <f>D139+E139</f>
        <v>-87531928.221083835</v>
      </c>
      <c r="G139" s="27">
        <f>SUM('Rate Base'!I139+'Rate Base (RCN)'!I139)/2</f>
        <v>-758049.22108383104</v>
      </c>
      <c r="H139" s="27">
        <f>SUM('Rate Base'!J139+'Rate Base (RCN)'!J139)/2</f>
        <v>0</v>
      </c>
      <c r="I139" s="27">
        <f>SUM('Rate Base'!K139+'Rate Base (RCN)'!K139)/2</f>
        <v>0</v>
      </c>
      <c r="J139" s="27">
        <f>SUM('Rate Base'!L139+'Rate Base (RCN)'!L139)/2</f>
        <v>0</v>
      </c>
      <c r="K139" s="27">
        <f>SUM('Rate Base'!M139+'Rate Base (RCN)'!M139)/2</f>
        <v>0</v>
      </c>
      <c r="L139" s="27">
        <f>SUM('Rate Base'!N139+'Rate Base (RCN)'!N139)/2</f>
        <v>0</v>
      </c>
      <c r="M139" s="27">
        <f>SUM('Rate Base'!O139+'Rate Base (RCN)'!O139)/2</f>
        <v>0</v>
      </c>
      <c r="N139" s="27">
        <f>SUM('Rate Base'!P139+'Rate Base (RCN)'!P139)/2</f>
        <v>0</v>
      </c>
      <c r="O139" s="27">
        <f>SUM('Rate Base'!Q139+'Rate Base (RCN)'!Q139)/2</f>
        <v>0</v>
      </c>
      <c r="P139" s="27">
        <f>SUM('Rate Base'!R139+'Rate Base (RCN)'!R139)/2</f>
        <v>0</v>
      </c>
    </row>
    <row r="140" spans="2:16">
      <c r="B140" s="189">
        <v>283</v>
      </c>
      <c r="C140" s="12" t="s">
        <v>38</v>
      </c>
      <c r="D140" s="193">
        <f>ROUND(SUM('Rate Base'!F140+'Rate Base (RCN)'!F140)/2,0)</f>
        <v>-2189227</v>
      </c>
      <c r="E140" s="27">
        <f>SUM(G140:P140)</f>
        <v>974041</v>
      </c>
      <c r="F140" s="31">
        <f>D140+E140</f>
        <v>-1215186</v>
      </c>
      <c r="G140" s="27">
        <f>SUM('Rate Base'!I140+'Rate Base (RCN)'!I140)/2</f>
        <v>974041</v>
      </c>
      <c r="H140" s="27">
        <f>SUM('Rate Base'!J140+'Rate Base (RCN)'!J140)/2</f>
        <v>0</v>
      </c>
      <c r="I140" s="27">
        <f>SUM('Rate Base'!K140+'Rate Base (RCN)'!K140)/2</f>
        <v>0</v>
      </c>
      <c r="J140" s="27">
        <f>SUM('Rate Base'!L140+'Rate Base (RCN)'!L140)/2</f>
        <v>0</v>
      </c>
      <c r="K140" s="27">
        <f>SUM('Rate Base'!M140+'Rate Base (RCN)'!M140)/2</f>
        <v>0</v>
      </c>
      <c r="L140" s="27">
        <f>SUM('Rate Base'!N140+'Rate Base (RCN)'!N140)/2</f>
        <v>0</v>
      </c>
      <c r="M140" s="27">
        <f>SUM('Rate Base'!O140+'Rate Base (RCN)'!O140)/2</f>
        <v>0</v>
      </c>
      <c r="N140" s="27">
        <f>SUM('Rate Base'!P140+'Rate Base (RCN)'!P140)/2</f>
        <v>0</v>
      </c>
      <c r="O140" s="27">
        <f>SUM('Rate Base'!Q140+'Rate Base (RCN)'!Q140)/2</f>
        <v>0</v>
      </c>
      <c r="P140" s="27">
        <f>SUM('Rate Base'!R140+'Rate Base (RCN)'!R140)/2</f>
        <v>0</v>
      </c>
    </row>
    <row r="141" spans="2:16">
      <c r="B141" s="206"/>
      <c r="C141" s="36" t="s">
        <v>39</v>
      </c>
      <c r="D141" s="194">
        <f>SUM(D138:D140)</f>
        <v>-64818892</v>
      </c>
      <c r="E141" s="195">
        <f>SUM(E138:E140)</f>
        <v>-746873.22108383104</v>
      </c>
      <c r="F141" s="196">
        <f>SUM(F138:F140)</f>
        <v>-65565765.221083835</v>
      </c>
      <c r="G141" s="27"/>
      <c r="H141" s="27"/>
      <c r="I141" s="27"/>
      <c r="J141" s="27"/>
      <c r="K141" s="27"/>
      <c r="L141" s="27"/>
      <c r="M141" s="27"/>
      <c r="N141" s="27"/>
      <c r="O141" s="27"/>
      <c r="P141" s="27"/>
    </row>
    <row r="142" spans="2:16">
      <c r="B142" s="206"/>
      <c r="C142" s="37"/>
      <c r="D142" s="198"/>
      <c r="E142" s="199"/>
      <c r="F142" s="200"/>
      <c r="G142" s="27"/>
      <c r="H142" s="27"/>
      <c r="I142" s="27"/>
      <c r="J142" s="27"/>
      <c r="K142" s="27"/>
      <c r="L142" s="27"/>
      <c r="M142" s="27"/>
      <c r="N142" s="27"/>
      <c r="O142" s="27"/>
      <c r="P142" s="27"/>
    </row>
    <row r="143" spans="2:16" ht="13.8" thickBot="1">
      <c r="B143" s="206"/>
      <c r="C143" s="41" t="s">
        <v>40</v>
      </c>
      <c r="D143" s="213">
        <f>+D129+D135+D141</f>
        <v>442937149</v>
      </c>
      <c r="E143" s="214">
        <f>+E129+E135+E141</f>
        <v>21031482.102686472</v>
      </c>
      <c r="F143" s="215">
        <f>+F129+F135+F141</f>
        <v>463968631.10268646</v>
      </c>
      <c r="G143" s="27"/>
      <c r="H143" s="27"/>
      <c r="I143" s="27"/>
      <c r="J143" s="27"/>
      <c r="K143" s="27"/>
      <c r="L143" s="27"/>
      <c r="M143" s="27"/>
      <c r="N143" s="27"/>
      <c r="O143" s="27"/>
      <c r="P143" s="27"/>
    </row>
    <row r="147" spans="5:6">
      <c r="E147" s="12" t="s">
        <v>1</v>
      </c>
      <c r="F147" s="235">
        <f>'Rate Base'!H143</f>
        <v>291295381.68268651</v>
      </c>
    </row>
    <row r="148" spans="5:6">
      <c r="E148" s="236" t="s">
        <v>339</v>
      </c>
      <c r="F148" s="244">
        <f>'Rate Base (RCN)'!H143</f>
        <v>636641884.03491378</v>
      </c>
    </row>
    <row r="149" spans="5:6">
      <c r="E149" s="235" t="s">
        <v>340</v>
      </c>
      <c r="F149" s="246">
        <f>SUM(F147:F148)</f>
        <v>927937265.71760035</v>
      </c>
    </row>
    <row r="150" spans="5:6">
      <c r="E150" s="235" t="s">
        <v>341</v>
      </c>
      <c r="F150" s="235">
        <f>F149/2</f>
        <v>463968632.85880017</v>
      </c>
    </row>
    <row r="151" spans="5:6">
      <c r="E151" s="235"/>
      <c r="F151" s="235"/>
    </row>
    <row r="152" spans="5:6">
      <c r="E152" s="235" t="s">
        <v>342</v>
      </c>
      <c r="F152" s="245" t="e">
        <f>#REF!</f>
        <v>#REF!</v>
      </c>
    </row>
    <row r="153" spans="5:6">
      <c r="E153" s="235"/>
      <c r="F153" s="235" t="e">
        <f>F152-F150</f>
        <v>#REF!</v>
      </c>
    </row>
  </sheetData>
  <printOptions horizontalCentered="1" gridLines="1"/>
  <pageMargins left="0" right="0" top="0.75" bottom="0.65" header="0.5" footer="0.2"/>
  <pageSetup scale="47" fitToHeight="4" orientation="landscape" r:id="rId1"/>
  <headerFooter alignWithMargins="0">
    <oddFooter>&amp;CPage &amp;P of &amp;N&amp;R&amp;D 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tabColor rgb="FF00B0F0"/>
  </sheetPr>
  <dimension ref="A1:JM241"/>
  <sheetViews>
    <sheetView topLeftCell="F1" zoomScale="80" zoomScaleNormal="80" workbookViewId="0">
      <pane xSplit="5" ySplit="7" topLeftCell="K8" activePane="bottomRight" state="frozen"/>
      <selection sqref="A1:F1"/>
      <selection pane="topRight" sqref="A1:F1"/>
      <selection pane="bottomLeft" sqref="A1:F1"/>
      <selection pane="bottomRight" sqref="A1:F1"/>
    </sheetView>
  </sheetViews>
  <sheetFormatPr defaultColWidth="9.109375" defaultRowHeight="11.25" customHeight="1"/>
  <cols>
    <col min="1" max="1" width="6.44140625" style="330" hidden="1" customWidth="1"/>
    <col min="2" max="2" width="8.109375" style="330" hidden="1" customWidth="1"/>
    <col min="3" max="3" width="9.44140625" style="330" hidden="1" customWidth="1"/>
    <col min="4" max="4" width="7.5546875" style="330" hidden="1" customWidth="1"/>
    <col min="5" max="5" width="9.5546875" style="330" hidden="1" customWidth="1"/>
    <col min="6" max="6" width="12.5546875" style="124" customWidth="1"/>
    <col min="7" max="7" width="50.5546875" style="55" customWidth="1"/>
    <col min="8" max="8" width="17.5546875" style="125" customWidth="1"/>
    <col min="9" max="9" width="17.5546875" style="49" customWidth="1"/>
    <col min="10" max="10" width="17.5546875" style="54" customWidth="1"/>
    <col min="11" max="41" width="15.5546875" style="53" customWidth="1"/>
    <col min="42" max="44" width="8.5546875" style="49" customWidth="1"/>
    <col min="45" max="90" width="8.5546875" style="55" customWidth="1"/>
    <col min="91" max="91" width="8.5546875" style="49" customWidth="1"/>
    <col min="92" max="134" width="8.5546875" style="55" customWidth="1"/>
    <col min="135" max="135" width="8.5546875" style="49" customWidth="1"/>
    <col min="136" max="150" width="8.5546875" style="55" customWidth="1"/>
    <col min="151" max="151" width="8.5546875" style="49" customWidth="1"/>
    <col min="152" max="152" width="8.5546875" style="55" customWidth="1"/>
    <col min="153" max="271" width="9.109375" style="55"/>
    <col min="272" max="272" width="9.109375" style="327"/>
    <col min="273" max="273" width="9.109375" style="329"/>
    <col min="274" max="16384" width="9.109375" style="55"/>
  </cols>
  <sheetData>
    <row r="1" spans="1:272" ht="15" customHeight="1" thickBot="1">
      <c r="F1" s="56"/>
      <c r="G1" s="50" t="s">
        <v>14</v>
      </c>
      <c r="H1" s="360" t="s">
        <v>552</v>
      </c>
      <c r="I1" s="51"/>
      <c r="J1"/>
      <c r="K1" s="1048"/>
      <c r="L1" s="1049"/>
      <c r="M1" s="1050" t="s">
        <v>53</v>
      </c>
      <c r="N1" s="1051">
        <f>SUM(K6:AO6)</f>
        <v>1657191.4635230899</v>
      </c>
      <c r="P1" s="55"/>
      <c r="Q1" s="55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52"/>
      <c r="AQ1" s="52"/>
      <c r="AR1" s="52"/>
      <c r="AS1" s="49"/>
      <c r="CM1" s="55"/>
      <c r="CN1" s="49"/>
      <c r="EE1" s="55"/>
      <c r="EF1" s="49"/>
      <c r="EU1" s="55"/>
      <c r="EV1" s="49"/>
      <c r="JL1" s="55"/>
    </row>
    <row r="2" spans="1:272" ht="15" customHeight="1">
      <c r="F2" s="56"/>
      <c r="H2" s="361" t="s">
        <v>553</v>
      </c>
      <c r="I2" s="51"/>
      <c r="J2"/>
      <c r="K2" s="931"/>
      <c r="L2" s="931"/>
      <c r="M2" s="931"/>
      <c r="N2" s="931"/>
      <c r="O2" s="931"/>
      <c r="P2" s="243"/>
      <c r="Q2" s="243"/>
      <c r="R2" s="243"/>
      <c r="S2" s="243"/>
      <c r="T2" s="243"/>
      <c r="U2" s="931"/>
      <c r="V2" s="931"/>
      <c r="W2" s="931"/>
      <c r="X2" s="931"/>
      <c r="Y2" s="931"/>
      <c r="Z2" s="931"/>
      <c r="AA2" s="931"/>
      <c r="AB2" s="931"/>
      <c r="AC2" s="931"/>
      <c r="AD2" s="931"/>
      <c r="AE2" s="931"/>
      <c r="AF2" s="243"/>
      <c r="AG2" s="931"/>
      <c r="AH2" s="243"/>
      <c r="AI2" s="243"/>
      <c r="AJ2" s="243"/>
      <c r="AK2" s="243"/>
      <c r="AL2" s="931"/>
      <c r="AM2" s="931"/>
      <c r="AN2" s="931"/>
      <c r="AO2" s="931"/>
      <c r="AP2" s="52"/>
      <c r="AQ2" s="52"/>
      <c r="AR2" s="52"/>
      <c r="AS2" s="49"/>
      <c r="CM2" s="55"/>
      <c r="CN2" s="49"/>
      <c r="EE2" s="55"/>
      <c r="EF2" s="49"/>
      <c r="EU2" s="55"/>
      <c r="EV2" s="49"/>
      <c r="JL2" s="55"/>
    </row>
    <row r="3" spans="1:272" ht="15" customHeight="1">
      <c r="F3" s="57"/>
      <c r="G3" s="58" t="s">
        <v>4</v>
      </c>
      <c r="H3" s="362" t="s">
        <v>554</v>
      </c>
      <c r="I3" s="51"/>
      <c r="J3" s="957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2"/>
      <c r="AQ3" s="52"/>
    </row>
    <row r="4" spans="1:272" ht="15" customHeight="1">
      <c r="F4" s="57"/>
      <c r="G4" s="58" t="e">
        <f>#REF!</f>
        <v>#REF!</v>
      </c>
      <c r="H4" s="325" t="s">
        <v>488</v>
      </c>
      <c r="I4" s="51"/>
      <c r="J4" s="52"/>
      <c r="K4" s="52">
        <v>1</v>
      </c>
      <c r="L4" s="52">
        <f>+K4+1</f>
        <v>2</v>
      </c>
      <c r="M4" s="52">
        <f>+L4+1</f>
        <v>3</v>
      </c>
      <c r="N4" s="52">
        <f t="shared" ref="N4:AL4" si="0">+M4+1</f>
        <v>4</v>
      </c>
      <c r="O4" s="52">
        <f t="shared" si="0"/>
        <v>5</v>
      </c>
      <c r="P4" s="52">
        <f>+O4+1</f>
        <v>6</v>
      </c>
      <c r="Q4" s="52">
        <f t="shared" si="0"/>
        <v>7</v>
      </c>
      <c r="R4" s="52">
        <f t="shared" si="0"/>
        <v>8</v>
      </c>
      <c r="S4" s="52">
        <f>+R4+1</f>
        <v>9</v>
      </c>
      <c r="T4" s="52">
        <f>+S4+1</f>
        <v>10</v>
      </c>
      <c r="U4" s="52">
        <f>+T4+1</f>
        <v>11</v>
      </c>
      <c r="V4" s="52">
        <f>+U4+1</f>
        <v>12</v>
      </c>
      <c r="W4" s="52">
        <f t="shared" si="0"/>
        <v>13</v>
      </c>
      <c r="X4" s="52">
        <f t="shared" si="0"/>
        <v>14</v>
      </c>
      <c r="Y4" s="52">
        <f t="shared" si="0"/>
        <v>15</v>
      </c>
      <c r="Z4" s="52">
        <f t="shared" si="0"/>
        <v>16</v>
      </c>
      <c r="AA4" s="52">
        <f>+Z4+1</f>
        <v>17</v>
      </c>
      <c r="AB4" s="52">
        <f>+AA4+1</f>
        <v>18</v>
      </c>
      <c r="AC4" s="52">
        <f>+AB4+1</f>
        <v>19</v>
      </c>
      <c r="AD4" s="52">
        <f t="shared" ref="AD4" si="1">+AC4+1</f>
        <v>20</v>
      </c>
      <c r="AE4" s="52">
        <f t="shared" ref="AE4" si="2">+AD4+1</f>
        <v>21</v>
      </c>
      <c r="AF4" s="52">
        <f t="shared" ref="AF4" si="3">+AE4+1</f>
        <v>22</v>
      </c>
      <c r="AG4" s="52">
        <f>+AF4+1</f>
        <v>23</v>
      </c>
      <c r="AH4" s="52">
        <f t="shared" si="0"/>
        <v>24</v>
      </c>
      <c r="AI4" s="52">
        <f t="shared" si="0"/>
        <v>25</v>
      </c>
      <c r="AJ4" s="52">
        <f t="shared" si="0"/>
        <v>26</v>
      </c>
      <c r="AK4" s="52">
        <f t="shared" si="0"/>
        <v>27</v>
      </c>
      <c r="AL4" s="52">
        <f t="shared" si="0"/>
        <v>28</v>
      </c>
      <c r="AM4" s="52">
        <f>+AL4+1</f>
        <v>29</v>
      </c>
      <c r="AN4" s="52">
        <f>+AM4+1</f>
        <v>30</v>
      </c>
      <c r="AO4" s="52">
        <f>+AN4+1</f>
        <v>31</v>
      </c>
      <c r="AP4" s="52"/>
      <c r="AR4" s="55"/>
      <c r="CL4" s="49"/>
      <c r="CM4" s="55"/>
      <c r="ED4" s="49"/>
      <c r="EE4" s="55"/>
      <c r="ET4" s="49"/>
      <c r="EU4" s="55"/>
      <c r="JK4" s="327"/>
      <c r="JL4" s="329"/>
    </row>
    <row r="5" spans="1:272" ht="13.2">
      <c r="H5" s="363" t="s">
        <v>555</v>
      </c>
      <c r="I5" s="51"/>
      <c r="J5" s="52"/>
      <c r="K5" s="52" t="s">
        <v>16</v>
      </c>
      <c r="L5" s="52" t="s">
        <v>16</v>
      </c>
      <c r="M5" s="52" t="s">
        <v>16</v>
      </c>
      <c r="N5" s="52" t="s">
        <v>16</v>
      </c>
      <c r="O5" s="52" t="s">
        <v>16</v>
      </c>
      <c r="P5" s="52" t="s">
        <v>16</v>
      </c>
      <c r="Q5" s="52" t="s">
        <v>16</v>
      </c>
      <c r="R5" s="52" t="s">
        <v>16</v>
      </c>
      <c r="S5" s="52" t="s">
        <v>16</v>
      </c>
      <c r="T5" s="52" t="s">
        <v>16</v>
      </c>
      <c r="U5" s="52" t="s">
        <v>16</v>
      </c>
      <c r="V5" s="52" t="s">
        <v>16</v>
      </c>
      <c r="W5" s="52" t="s">
        <v>16</v>
      </c>
      <c r="X5" s="52" t="s">
        <v>16</v>
      </c>
      <c r="Y5" s="52" t="s">
        <v>16</v>
      </c>
      <c r="Z5" s="52" t="s">
        <v>16</v>
      </c>
      <c r="AA5" s="52" t="s">
        <v>16</v>
      </c>
      <c r="AB5" s="52" t="s">
        <v>16</v>
      </c>
      <c r="AC5" s="52" t="s">
        <v>16</v>
      </c>
      <c r="AD5" s="52" t="s">
        <v>16</v>
      </c>
      <c r="AE5" s="52" t="s">
        <v>16</v>
      </c>
      <c r="AF5" s="52" t="s">
        <v>16</v>
      </c>
      <c r="AG5" s="52" t="s">
        <v>16</v>
      </c>
      <c r="AH5" s="52" t="s">
        <v>16</v>
      </c>
      <c r="AI5" s="52" t="s">
        <v>16</v>
      </c>
      <c r="AJ5" s="52" t="s">
        <v>16</v>
      </c>
      <c r="AK5" s="52" t="s">
        <v>16</v>
      </c>
      <c r="AL5" s="52" t="s">
        <v>16</v>
      </c>
      <c r="AM5" s="52" t="s">
        <v>16</v>
      </c>
      <c r="AN5" s="52" t="s">
        <v>16</v>
      </c>
      <c r="AO5" s="52" t="s">
        <v>16</v>
      </c>
      <c r="AP5" s="52"/>
      <c r="AR5" s="55"/>
      <c r="CL5" s="49"/>
      <c r="CM5" s="55"/>
      <c r="ED5" s="49"/>
      <c r="EE5" s="55"/>
      <c r="ET5" s="49"/>
      <c r="EU5" s="55"/>
      <c r="JK5" s="327"/>
      <c r="JL5" s="329"/>
    </row>
    <row r="6" spans="1:272" ht="13.2">
      <c r="F6" s="59"/>
      <c r="G6"/>
      <c r="I6" s="326"/>
      <c r="J6" s="57" t="s">
        <v>54</v>
      </c>
      <c r="K6" s="22">
        <f t="shared" ref="K6:AO6" si="4">+SUM(K10:K21)-SUM(K24:K150)</f>
        <v>3017036.08</v>
      </c>
      <c r="L6" s="22">
        <f t="shared" si="4"/>
        <v>41166.879999999997</v>
      </c>
      <c r="M6" s="22">
        <f t="shared" si="4"/>
        <v>17793</v>
      </c>
      <c r="N6" s="22">
        <f t="shared" si="4"/>
        <v>74498</v>
      </c>
      <c r="O6" s="22">
        <f t="shared" si="4"/>
        <v>477630</v>
      </c>
      <c r="P6" s="22">
        <f t="shared" si="4"/>
        <v>-151239</v>
      </c>
      <c r="Q6" s="22">
        <f t="shared" si="4"/>
        <v>-1121328</v>
      </c>
      <c r="R6" s="22">
        <f t="shared" si="4"/>
        <v>340802.737631</v>
      </c>
      <c r="S6" s="22">
        <f t="shared" ref="S6:T6" si="5">+SUM(S10:S21)-SUM(S24:S150)</f>
        <v>155494</v>
      </c>
      <c r="T6" s="22">
        <f t="shared" si="5"/>
        <v>-55977.486666666664</v>
      </c>
      <c r="U6" s="22">
        <f t="shared" si="4"/>
        <v>545775</v>
      </c>
      <c r="V6" s="22">
        <f t="shared" si="4"/>
        <v>-571260</v>
      </c>
      <c r="W6" s="22">
        <f t="shared" si="4"/>
        <v>-151434.76999999999</v>
      </c>
      <c r="X6" s="22">
        <f t="shared" si="4"/>
        <v>309744.80164418113</v>
      </c>
      <c r="Y6" s="22">
        <f t="shared" si="4"/>
        <v>160503</v>
      </c>
      <c r="Z6" s="22">
        <f t="shared" si="4"/>
        <v>150977.51999999999</v>
      </c>
      <c r="AA6" s="22">
        <f t="shared" ref="AA6" si="6">+SUM(AA10:AA21)-SUM(AA24:AA150)</f>
        <v>-101100</v>
      </c>
      <c r="AB6" s="22">
        <f t="shared" si="4"/>
        <v>299470</v>
      </c>
      <c r="AC6" s="22">
        <f t="shared" si="4"/>
        <v>-18483.45</v>
      </c>
      <c r="AD6" s="22">
        <f t="shared" si="4"/>
        <v>-787532</v>
      </c>
      <c r="AE6" s="22">
        <f t="shared" si="4"/>
        <v>-31506.505799999999</v>
      </c>
      <c r="AF6" s="22">
        <f t="shared" si="4"/>
        <v>7236</v>
      </c>
      <c r="AG6" s="22">
        <f t="shared" si="4"/>
        <v>47074</v>
      </c>
      <c r="AH6" s="22">
        <f t="shared" si="4"/>
        <v>-813822</v>
      </c>
      <c r="AI6" s="22">
        <f t="shared" si="4"/>
        <v>-675894.86987700453</v>
      </c>
      <c r="AJ6" s="22">
        <f t="shared" si="4"/>
        <v>0</v>
      </c>
      <c r="AK6" s="22">
        <f t="shared" si="4"/>
        <v>-250000</v>
      </c>
      <c r="AL6" s="22">
        <f t="shared" si="4"/>
        <v>0</v>
      </c>
      <c r="AM6" s="22">
        <f t="shared" ref="AM6" si="7">+SUM(AM10:AM21)-SUM(AM24:AM150)</f>
        <v>83119.62</v>
      </c>
      <c r="AN6" s="22">
        <f t="shared" si="4"/>
        <v>392194</v>
      </c>
      <c r="AO6" s="22">
        <f t="shared" si="4"/>
        <v>266254.90659157973</v>
      </c>
      <c r="AP6" s="52"/>
      <c r="AQ6" s="1121"/>
      <c r="AR6" s="55"/>
      <c r="CL6" s="49"/>
      <c r="CM6" s="55"/>
      <c r="ED6" s="49"/>
      <c r="EE6" s="55"/>
      <c r="ET6" s="49"/>
      <c r="EU6" s="55"/>
      <c r="JK6" s="327"/>
      <c r="JL6" s="329"/>
    </row>
    <row r="7" spans="1:272" ht="66.599999999999994" thickBot="1">
      <c r="A7" s="331" t="s">
        <v>489</v>
      </c>
      <c r="B7" s="331"/>
      <c r="C7" s="331"/>
      <c r="D7" s="331"/>
      <c r="E7" s="331"/>
      <c r="F7" s="47" t="s">
        <v>18</v>
      </c>
      <c r="G7" s="60" t="s">
        <v>55</v>
      </c>
      <c r="H7" s="47" t="s">
        <v>151</v>
      </c>
      <c r="I7" s="47" t="s">
        <v>1886</v>
      </c>
      <c r="J7" s="47" t="s">
        <v>1930</v>
      </c>
      <c r="K7" s="47" t="s">
        <v>1885</v>
      </c>
      <c r="L7" s="47" t="s">
        <v>1829</v>
      </c>
      <c r="M7" s="154" t="s">
        <v>10</v>
      </c>
      <c r="N7" s="154" t="s">
        <v>1931</v>
      </c>
      <c r="O7" s="154" t="s">
        <v>1891</v>
      </c>
      <c r="P7" s="154" t="s">
        <v>1906</v>
      </c>
      <c r="Q7" s="47" t="s">
        <v>1894</v>
      </c>
      <c r="R7" s="47" t="s">
        <v>1935</v>
      </c>
      <c r="S7" s="47" t="s">
        <v>1936</v>
      </c>
      <c r="T7" s="47" t="s">
        <v>1937</v>
      </c>
      <c r="U7" s="47" t="s">
        <v>704</v>
      </c>
      <c r="V7" s="154" t="s">
        <v>323</v>
      </c>
      <c r="W7" s="154" t="s">
        <v>13</v>
      </c>
      <c r="X7" s="47" t="s">
        <v>1904</v>
      </c>
      <c r="Y7" s="47" t="s">
        <v>325</v>
      </c>
      <c r="Z7" s="47" t="s">
        <v>1905</v>
      </c>
      <c r="AA7" s="47" t="s">
        <v>1933</v>
      </c>
      <c r="AB7" s="47" t="s">
        <v>1749</v>
      </c>
      <c r="AC7" s="47" t="s">
        <v>1818</v>
      </c>
      <c r="AD7" s="154" t="s">
        <v>1830</v>
      </c>
      <c r="AE7" s="154" t="s">
        <v>12</v>
      </c>
      <c r="AF7" s="154" t="s">
        <v>1804</v>
      </c>
      <c r="AG7" s="47" t="s">
        <v>1831</v>
      </c>
      <c r="AH7" s="154" t="s">
        <v>1762</v>
      </c>
      <c r="AI7" s="154" t="s">
        <v>1832</v>
      </c>
      <c r="AJ7" s="154" t="s">
        <v>324</v>
      </c>
      <c r="AK7" s="47" t="s">
        <v>11</v>
      </c>
      <c r="AL7" s="154" t="s">
        <v>322</v>
      </c>
      <c r="AM7" s="154" t="s">
        <v>1932</v>
      </c>
      <c r="AN7" s="47" t="s">
        <v>1833</v>
      </c>
      <c r="AO7" s="47" t="s">
        <v>1828</v>
      </c>
      <c r="AP7" s="55"/>
      <c r="AQ7" s="55"/>
      <c r="AR7" s="55"/>
      <c r="CM7" s="55"/>
      <c r="EE7" s="55"/>
      <c r="EU7" s="55"/>
      <c r="JK7" s="327"/>
      <c r="JL7" s="329"/>
    </row>
    <row r="8" spans="1:272" ht="13.8" thickTop="1">
      <c r="F8" s="46"/>
      <c r="G8" s="52"/>
      <c r="H8" s="353"/>
      <c r="I8" s="48"/>
      <c r="J8" s="351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55"/>
      <c r="AQ8" s="55"/>
      <c r="AR8" s="55"/>
      <c r="CM8" s="55"/>
      <c r="EE8" s="55"/>
      <c r="EU8" s="55"/>
      <c r="JK8" s="327"/>
      <c r="JL8" s="329"/>
    </row>
    <row r="9" spans="1:272" ht="15" customHeight="1">
      <c r="F9" s="46"/>
      <c r="G9" s="61" t="s">
        <v>52</v>
      </c>
      <c r="H9" s="353"/>
      <c r="I9" s="48"/>
      <c r="J9" s="351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55"/>
      <c r="AQ9" s="55"/>
      <c r="AR9" s="55"/>
      <c r="CM9" s="55"/>
      <c r="EE9" s="55"/>
      <c r="EU9" s="55"/>
      <c r="JK9" s="327"/>
      <c r="JL9" s="329"/>
    </row>
    <row r="10" spans="1:272" ht="15" customHeight="1">
      <c r="A10" s="921" t="s">
        <v>1612</v>
      </c>
      <c r="F10" s="62" t="s">
        <v>56</v>
      </c>
      <c r="G10" s="63" t="s">
        <v>57</v>
      </c>
      <c r="H10" s="367">
        <f>SUM(((VLOOKUP(A10,'REVEXP-UNADJ-FERC IS'!$B$8:$E$157,4,FALSE))))</f>
        <v>117648372.80999999</v>
      </c>
      <c r="I10" s="13">
        <f>SUM(K10:AO10)</f>
        <v>-54905416.569999963</v>
      </c>
      <c r="J10" s="13">
        <f>H10+I10</f>
        <v>62742956.240000024</v>
      </c>
      <c r="K10" s="53">
        <v>3202922</v>
      </c>
      <c r="O10" s="53">
        <v>477630</v>
      </c>
      <c r="P10" s="53">
        <v>-151239</v>
      </c>
      <c r="AJ10" s="53">
        <v>-58434729.569999963</v>
      </c>
      <c r="AR10" s="55"/>
      <c r="AS10" s="63"/>
      <c r="CL10" s="49"/>
      <c r="CM10" s="55"/>
      <c r="ED10" s="49"/>
      <c r="EE10" s="55"/>
      <c r="ET10" s="49"/>
      <c r="EU10" s="55"/>
      <c r="JK10" s="327"/>
      <c r="JL10" s="328" t="s">
        <v>187</v>
      </c>
    </row>
    <row r="11" spans="1:272" ht="15" customHeight="1">
      <c r="A11" s="922" t="s">
        <v>1613</v>
      </c>
      <c r="F11" s="62">
        <v>483</v>
      </c>
      <c r="G11" s="63" t="s">
        <v>322</v>
      </c>
      <c r="H11" s="367">
        <f>SUM(((VLOOKUP(A11,'REVEXP-UNADJ-FERC IS'!$B$8:$E$157,4,FALSE))))</f>
        <v>371072.94</v>
      </c>
      <c r="I11" s="13">
        <f>SUM(K11:AO11)</f>
        <v>-371073</v>
      </c>
      <c r="J11" s="13">
        <f>H11+I11</f>
        <v>-5.9999999997671694E-2</v>
      </c>
      <c r="AL11" s="53">
        <v>-371073</v>
      </c>
      <c r="AR11" s="55"/>
      <c r="AS11" s="63"/>
      <c r="CL11" s="49"/>
      <c r="CM11" s="55"/>
      <c r="ED11" s="49"/>
      <c r="EE11" s="55"/>
      <c r="ET11" s="49"/>
      <c r="EU11" s="55"/>
      <c r="JK11" s="327"/>
      <c r="JL11" s="328" t="s">
        <v>188</v>
      </c>
    </row>
    <row r="12" spans="1:272" ht="15" customHeight="1">
      <c r="A12" s="922" t="s">
        <v>1616</v>
      </c>
      <c r="F12" s="66">
        <v>489</v>
      </c>
      <c r="G12" s="63" t="s">
        <v>58</v>
      </c>
      <c r="H12" s="367">
        <f>SUM(((VLOOKUP(A12,'REVEXP-UNADJ-FERC IS'!$B$8:$E$157,4,FALSE))))</f>
        <v>5749636.4799999995</v>
      </c>
      <c r="I12" s="13">
        <f>SUM(K12:AO12)</f>
        <v>-823491.92999999993</v>
      </c>
      <c r="J12" s="13">
        <f>H12+I12</f>
        <v>4926144.55</v>
      </c>
      <c r="V12" s="53">
        <v>-571260</v>
      </c>
      <c r="W12" s="53">
        <v>-252231.93</v>
      </c>
      <c r="AR12" s="55"/>
      <c r="AS12" s="63"/>
      <c r="CL12" s="49"/>
      <c r="CM12" s="55"/>
      <c r="ED12" s="49"/>
      <c r="EE12" s="55"/>
      <c r="ET12" s="49"/>
      <c r="EU12" s="55"/>
      <c r="JK12" s="327"/>
      <c r="JL12" s="328" t="s">
        <v>189</v>
      </c>
    </row>
    <row r="13" spans="1:272" ht="15" customHeight="1">
      <c r="F13" s="62"/>
      <c r="G13" s="67" t="s">
        <v>45</v>
      </c>
      <c r="H13" s="364">
        <f>SUM(H10:H12)</f>
        <v>123769082.22999999</v>
      </c>
      <c r="I13" s="364">
        <f>SUM(I10:I12)</f>
        <v>-56099981.499999963</v>
      </c>
      <c r="J13" s="364">
        <f>SUM(J10:J12)</f>
        <v>67669100.730000019</v>
      </c>
      <c r="AR13" s="55"/>
      <c r="AS13" s="63"/>
      <c r="CL13" s="49"/>
      <c r="CM13" s="55"/>
      <c r="ED13" s="49"/>
      <c r="EE13" s="55"/>
      <c r="ET13" s="49"/>
      <c r="EU13" s="55"/>
      <c r="JK13" s="327"/>
      <c r="JL13" s="328"/>
    </row>
    <row r="14" spans="1:272" ht="15" customHeight="1">
      <c r="F14" s="62"/>
      <c r="G14" s="61"/>
      <c r="H14" s="354"/>
      <c r="I14" s="52"/>
      <c r="J14" s="52"/>
      <c r="AR14" s="55"/>
      <c r="AS14" s="63"/>
      <c r="CL14" s="49"/>
      <c r="CM14" s="55"/>
      <c r="ED14" s="49"/>
      <c r="EE14" s="55"/>
      <c r="ET14" s="49"/>
      <c r="EU14" s="55"/>
      <c r="JK14" s="327"/>
      <c r="JL14" s="328"/>
    </row>
    <row r="15" spans="1:272" ht="15" customHeight="1">
      <c r="F15" s="62"/>
      <c r="G15" s="61" t="s">
        <v>59</v>
      </c>
      <c r="H15" s="354"/>
      <c r="I15" s="68"/>
      <c r="J15" s="49"/>
      <c r="AR15" s="55"/>
      <c r="AS15" s="63"/>
      <c r="CL15" s="49"/>
      <c r="CM15" s="55"/>
      <c r="ED15" s="49"/>
      <c r="EE15" s="55"/>
      <c r="ET15" s="49"/>
      <c r="EU15" s="55"/>
      <c r="JK15" s="327"/>
      <c r="JL15" s="328"/>
    </row>
    <row r="16" spans="1:272" ht="15" customHeight="1">
      <c r="A16" s="332" t="s">
        <v>1614</v>
      </c>
      <c r="B16" s="332"/>
      <c r="F16" s="65">
        <v>487</v>
      </c>
      <c r="G16" s="63" t="s">
        <v>60</v>
      </c>
      <c r="H16" s="367">
        <f>SUM(((VLOOKUP(A16,'REVEXP-UNADJ-FERC IS'!$B$8:$E$157,4,FALSE))))</f>
        <v>244412.02000000002</v>
      </c>
      <c r="I16" s="13">
        <f>SUM(K16:AO16)</f>
        <v>245223.98000000004</v>
      </c>
      <c r="J16" s="13">
        <f>H16+I16</f>
        <v>489636.00000000006</v>
      </c>
      <c r="AB16" s="53">
        <v>245223.98000000004</v>
      </c>
      <c r="AR16" s="55"/>
      <c r="AS16" s="63"/>
      <c r="CL16" s="49"/>
      <c r="CM16" s="55"/>
      <c r="ED16" s="49"/>
      <c r="EE16" s="55"/>
      <c r="ET16" s="49"/>
      <c r="EU16" s="55"/>
      <c r="JK16" s="327"/>
      <c r="JL16" s="328" t="s">
        <v>190</v>
      </c>
    </row>
    <row r="17" spans="1:272" ht="15" customHeight="1">
      <c r="A17" s="332" t="s">
        <v>1615</v>
      </c>
      <c r="F17" s="62">
        <v>488</v>
      </c>
      <c r="G17" s="63" t="s">
        <v>1749</v>
      </c>
      <c r="H17" s="367">
        <f>SUM(((VLOOKUP(A17,'REVEXP-UNADJ-FERC IS'!$B$8:$E$157,4,FALSE))))</f>
        <v>750953.29</v>
      </c>
      <c r="I17" s="13">
        <f>SUM(K17:AO17)</f>
        <v>54246.01999999996</v>
      </c>
      <c r="J17" s="13">
        <f>H17+I17</f>
        <v>805199.31</v>
      </c>
      <c r="AB17" s="53">
        <v>54246.01999999996</v>
      </c>
      <c r="AR17" s="55"/>
      <c r="AS17" s="63"/>
      <c r="CL17" s="49"/>
      <c r="CM17" s="55"/>
      <c r="ED17" s="49"/>
      <c r="EE17" s="55"/>
      <c r="ET17" s="49"/>
      <c r="EU17" s="55"/>
      <c r="JK17" s="327"/>
      <c r="JL17" s="328" t="s">
        <v>191</v>
      </c>
    </row>
    <row r="18" spans="1:272" ht="15" customHeight="1">
      <c r="A18" s="332" t="s">
        <v>1617</v>
      </c>
      <c r="F18" s="66">
        <v>495</v>
      </c>
      <c r="G18" s="63" t="s">
        <v>1748</v>
      </c>
      <c r="H18" s="367">
        <f>SUM(((VLOOKUP(A18,'REVEXP-UNADJ-FERC IS'!$B$8:$E$157,4,FALSE))))</f>
        <v>1396598.76</v>
      </c>
      <c r="I18" s="13">
        <f>SUM(K18:AO18)</f>
        <v>-1374822.8599999999</v>
      </c>
      <c r="J18" s="13">
        <f>H18+I18</f>
        <v>21775.90000000014</v>
      </c>
      <c r="K18" s="53">
        <v>-185885.91999999995</v>
      </c>
      <c r="AJ18" s="53">
        <v>-1188936.94</v>
      </c>
      <c r="AR18" s="55"/>
      <c r="AS18" s="63"/>
      <c r="CL18" s="49"/>
      <c r="CM18" s="55"/>
      <c r="ED18" s="49"/>
      <c r="EE18" s="55"/>
      <c r="ET18" s="49"/>
      <c r="EU18" s="55"/>
      <c r="JK18" s="327"/>
      <c r="JL18" s="328" t="s">
        <v>192</v>
      </c>
    </row>
    <row r="19" spans="1:272" ht="15" customHeight="1">
      <c r="F19" s="62"/>
      <c r="G19" s="67" t="s">
        <v>61</v>
      </c>
      <c r="H19" s="364">
        <f>SUM(H16:H18)</f>
        <v>2391964.0700000003</v>
      </c>
      <c r="I19" s="364">
        <f>SUM(I16:I18)</f>
        <v>-1075352.8599999999</v>
      </c>
      <c r="J19" s="364">
        <f>SUM(J16:J18)</f>
        <v>1316611.2100000002</v>
      </c>
      <c r="AR19" s="55"/>
      <c r="AS19" s="63"/>
      <c r="CL19" s="49"/>
      <c r="CM19" s="55"/>
      <c r="ED19" s="49"/>
      <c r="EE19" s="55"/>
      <c r="ET19" s="49"/>
      <c r="EU19" s="55"/>
      <c r="JK19" s="327"/>
      <c r="JL19" s="328"/>
    </row>
    <row r="20" spans="1:272" ht="15" customHeight="1">
      <c r="F20" s="62"/>
      <c r="G20" s="69"/>
      <c r="H20" s="355"/>
      <c r="I20" s="70"/>
      <c r="J20" s="70"/>
      <c r="AR20" s="55"/>
      <c r="AS20" s="63"/>
      <c r="CL20" s="49"/>
      <c r="CM20" s="55"/>
      <c r="ED20" s="49"/>
      <c r="EE20" s="55"/>
      <c r="ET20" s="49"/>
      <c r="EU20" s="55"/>
      <c r="JK20" s="327"/>
      <c r="JL20" s="328"/>
    </row>
    <row r="21" spans="1:272" ht="15" customHeight="1" thickBot="1">
      <c r="F21" s="71"/>
      <c r="G21" s="67" t="s">
        <v>244</v>
      </c>
      <c r="H21" s="24">
        <f>+H13+H19</f>
        <v>126161046.29999998</v>
      </c>
      <c r="I21" s="24">
        <f>+I13+I19</f>
        <v>-57175334.359999962</v>
      </c>
      <c r="J21" s="24">
        <f>+J13+J19</f>
        <v>68985711.940000013</v>
      </c>
      <c r="AR21" s="55"/>
      <c r="AS21" s="63"/>
      <c r="CL21" s="49"/>
      <c r="CM21" s="55"/>
      <c r="ED21" s="49"/>
      <c r="EE21" s="55"/>
      <c r="ET21" s="49"/>
      <c r="EU21" s="55"/>
      <c r="JL21" s="328"/>
    </row>
    <row r="22" spans="1:272" ht="15" customHeight="1" thickTop="1">
      <c r="F22" s="71"/>
      <c r="G22" s="61"/>
      <c r="H22" s="354"/>
      <c r="I22" s="52"/>
      <c r="J22" s="52"/>
      <c r="AR22" s="55"/>
      <c r="AS22" s="63"/>
      <c r="CL22" s="49"/>
      <c r="CM22" s="55"/>
      <c r="ED22" s="49"/>
      <c r="EE22" s="55"/>
      <c r="ET22" s="49"/>
      <c r="EU22" s="55"/>
      <c r="JL22" s="328"/>
    </row>
    <row r="23" spans="1:272" ht="15" customHeight="1">
      <c r="F23" s="62"/>
      <c r="G23" s="61" t="s">
        <v>62</v>
      </c>
      <c r="H23" s="354"/>
      <c r="I23" s="52"/>
      <c r="J23" s="354"/>
      <c r="AR23" s="55"/>
      <c r="AS23" s="63"/>
      <c r="CL23" s="49"/>
      <c r="CM23" s="55"/>
      <c r="ED23" s="49"/>
      <c r="EE23" s="55"/>
      <c r="ET23" s="49"/>
      <c r="EU23" s="55"/>
      <c r="JK23" s="327"/>
      <c r="JL23" s="328"/>
    </row>
    <row r="24" spans="1:272" ht="15" customHeight="1">
      <c r="A24" s="332"/>
      <c r="F24" s="65"/>
      <c r="G24" s="63" t="s">
        <v>1883</v>
      </c>
      <c r="H24" s="368">
        <v>0</v>
      </c>
      <c r="I24" s="13">
        <f>SUM(K24:AO24)</f>
        <v>0</v>
      </c>
      <c r="J24" s="13">
        <f>H24+I24</f>
        <v>0</v>
      </c>
      <c r="AR24" s="55"/>
      <c r="CL24" s="49"/>
      <c r="CM24" s="55"/>
      <c r="ED24" s="49"/>
      <c r="EE24" s="55"/>
      <c r="EH24" s="49"/>
      <c r="EN24" s="49"/>
      <c r="ET24" s="49"/>
      <c r="EU24" s="55"/>
      <c r="EV24" s="49"/>
      <c r="EW24" s="49"/>
      <c r="EX24" s="49"/>
      <c r="EY24" s="49"/>
      <c r="EZ24" s="49"/>
      <c r="JK24" s="327"/>
      <c r="JL24" s="328" t="s">
        <v>193</v>
      </c>
    </row>
    <row r="25" spans="1:272" ht="15" customHeight="1">
      <c r="A25" s="332" t="s">
        <v>1620</v>
      </c>
      <c r="F25" s="71">
        <v>805</v>
      </c>
      <c r="G25" s="63" t="s">
        <v>245</v>
      </c>
      <c r="H25" s="367">
        <f>SUM(((VLOOKUP(A25,'REVEXP-UNADJ-FERC IS'!$B$8:$E$157,4,FALSE))))</f>
        <v>59994739.449999996</v>
      </c>
      <c r="I25" s="13">
        <f>SUM(K25:AO25)</f>
        <v>-59994739.509999961</v>
      </c>
      <c r="J25" s="13">
        <f>H25+I25</f>
        <v>-5.9999965131282806E-2</v>
      </c>
      <c r="AJ25" s="53">
        <f>+AJ10+AJ18</f>
        <v>-59623666.509999961</v>
      </c>
      <c r="AL25" s="53">
        <f>AL11</f>
        <v>-371073</v>
      </c>
      <c r="AR25" s="55"/>
      <c r="AS25" s="63"/>
      <c r="CL25" s="49"/>
      <c r="CM25" s="55"/>
      <c r="ED25" s="49"/>
      <c r="EE25" s="55"/>
      <c r="ET25" s="49"/>
      <c r="EU25" s="55"/>
      <c r="JK25" s="327"/>
      <c r="JL25" s="328" t="s">
        <v>194</v>
      </c>
    </row>
    <row r="26" spans="1:272" ht="15" customHeight="1">
      <c r="A26" s="332" t="s">
        <v>1621</v>
      </c>
      <c r="F26" s="71">
        <v>807</v>
      </c>
      <c r="G26" s="63" t="s">
        <v>63</v>
      </c>
      <c r="H26" s="367">
        <f>SUM(((VLOOKUP(A26,'REVEXP-UNADJ-FERC IS'!$B$8:$E$157,4,FALSE))))</f>
        <v>231994.91</v>
      </c>
      <c r="I26" s="13">
        <f>SUM(K26:AO26)</f>
        <v>0</v>
      </c>
      <c r="J26" s="13">
        <f>H26+I26</f>
        <v>231994.91</v>
      </c>
      <c r="AR26" s="55"/>
      <c r="CL26" s="49"/>
      <c r="CM26" s="55"/>
      <c r="ED26" s="49"/>
      <c r="EE26" s="55"/>
      <c r="EH26" s="49"/>
      <c r="EN26" s="49"/>
      <c r="ET26" s="49"/>
      <c r="EU26" s="55"/>
      <c r="EV26" s="49"/>
      <c r="EW26" s="49"/>
      <c r="EX26" s="49"/>
      <c r="EY26" s="49"/>
      <c r="EZ26" s="49"/>
      <c r="JK26" s="327"/>
      <c r="JL26" s="328" t="s">
        <v>195</v>
      </c>
    </row>
    <row r="27" spans="1:272" ht="15" customHeight="1">
      <c r="F27" s="62"/>
      <c r="G27" s="67" t="s">
        <v>249</v>
      </c>
      <c r="H27" s="364">
        <f>SUM(H24:H26)</f>
        <v>60226734.359999992</v>
      </c>
      <c r="I27" s="364">
        <f>SUM(I24:I26)</f>
        <v>-59994739.509999961</v>
      </c>
      <c r="J27" s="364">
        <f>SUM(J24:J26)</f>
        <v>231994.85000003487</v>
      </c>
      <c r="AR27" s="55"/>
      <c r="CL27" s="49"/>
      <c r="CM27" s="55"/>
      <c r="ED27" s="49"/>
      <c r="EE27" s="55"/>
      <c r="EH27" s="49"/>
      <c r="EN27" s="49"/>
      <c r="ET27" s="49"/>
      <c r="EU27" s="55"/>
      <c r="EV27" s="49"/>
      <c r="EW27" s="49"/>
      <c r="EX27" s="49"/>
      <c r="EY27" s="49"/>
      <c r="EZ27" s="49"/>
      <c r="JK27" s="327"/>
      <c r="JL27" s="328"/>
    </row>
    <row r="28" spans="1:272" ht="15" customHeight="1">
      <c r="F28" s="62"/>
      <c r="G28" s="61"/>
      <c r="H28" s="354"/>
      <c r="I28" s="52"/>
      <c r="J28" s="52"/>
      <c r="AR28" s="55"/>
      <c r="CL28" s="49"/>
      <c r="CM28" s="55"/>
      <c r="ED28" s="49"/>
      <c r="EE28" s="55"/>
      <c r="EH28" s="49"/>
      <c r="EN28" s="49"/>
      <c r="ET28" s="49"/>
      <c r="EU28" s="55"/>
      <c r="EV28" s="49"/>
      <c r="EW28" s="49"/>
      <c r="EX28" s="49"/>
      <c r="EY28" s="49"/>
      <c r="EZ28" s="49"/>
      <c r="JK28" s="327"/>
      <c r="JL28" s="328"/>
    </row>
    <row r="29" spans="1:272" ht="15" customHeight="1">
      <c r="F29" s="66"/>
      <c r="G29" s="61" t="s">
        <v>47</v>
      </c>
      <c r="H29" s="356"/>
      <c r="J29" s="49"/>
      <c r="AR29" s="55"/>
      <c r="CL29" s="49"/>
      <c r="CM29" s="55"/>
      <c r="CU29" s="49"/>
      <c r="ED29" s="49"/>
      <c r="EE29" s="55"/>
      <c r="EH29" s="49"/>
      <c r="EN29" s="49"/>
      <c r="ET29" s="49"/>
      <c r="EU29" s="55"/>
      <c r="JK29" s="327"/>
      <c r="JL29" s="328"/>
    </row>
    <row r="30" spans="1:272" ht="15" customHeight="1">
      <c r="A30" s="330" t="s">
        <v>1622</v>
      </c>
      <c r="F30" s="62">
        <v>856</v>
      </c>
      <c r="G30" s="63" t="s">
        <v>64</v>
      </c>
      <c r="H30" s="367">
        <f>SUM(((VLOOKUP(A30,'REVEXP-UNADJ-FERC IS'!$B$8:$E$155,4,FALSE))))</f>
        <v>14207.4</v>
      </c>
      <c r="I30" s="13">
        <f>SUM(K30:AO30)</f>
        <v>0</v>
      </c>
      <c r="J30" s="13">
        <f>H30+I30</f>
        <v>14207.4</v>
      </c>
      <c r="AR30" s="55"/>
      <c r="CL30" s="49"/>
      <c r="CM30" s="55"/>
      <c r="CU30" s="49"/>
      <c r="ED30" s="49"/>
      <c r="EE30" s="55"/>
      <c r="EH30" s="49"/>
      <c r="EN30" s="49"/>
      <c r="ET30" s="49"/>
      <c r="EU30" s="55"/>
      <c r="JK30" s="327"/>
      <c r="JL30" s="328" t="s">
        <v>196</v>
      </c>
    </row>
    <row r="31" spans="1:272" ht="15" customHeight="1">
      <c r="F31" s="62">
        <v>857</v>
      </c>
      <c r="G31" s="63" t="s">
        <v>65</v>
      </c>
      <c r="H31" s="368">
        <v>0</v>
      </c>
      <c r="I31" s="13">
        <f>SUM(K31:AO31)</f>
        <v>0</v>
      </c>
      <c r="J31" s="13">
        <f>H31+I31</f>
        <v>0</v>
      </c>
      <c r="AR31" s="55"/>
      <c r="CL31" s="49"/>
      <c r="CM31" s="55"/>
      <c r="CU31" s="49"/>
      <c r="ED31" s="49"/>
      <c r="EE31" s="55"/>
      <c r="EH31" s="49"/>
      <c r="EN31" s="49"/>
      <c r="ET31" s="49"/>
      <c r="EU31" s="55"/>
      <c r="JK31" s="327"/>
      <c r="JL31" s="328" t="s">
        <v>197</v>
      </c>
    </row>
    <row r="32" spans="1:272" ht="15" customHeight="1">
      <c r="F32" s="71">
        <v>864</v>
      </c>
      <c r="G32" s="63" t="s">
        <v>66</v>
      </c>
      <c r="H32" s="368">
        <v>0</v>
      </c>
      <c r="I32" s="13">
        <f>SUM(K32:AO32)</f>
        <v>0</v>
      </c>
      <c r="J32" s="13">
        <f>H32+I32</f>
        <v>0</v>
      </c>
      <c r="AR32" s="55"/>
      <c r="CL32" s="49"/>
      <c r="CM32" s="55"/>
      <c r="CU32" s="49"/>
      <c r="ED32" s="49"/>
      <c r="EE32" s="55"/>
      <c r="EH32" s="49"/>
      <c r="EN32" s="49"/>
      <c r="ET32" s="49"/>
      <c r="EU32" s="55"/>
      <c r="JK32" s="327"/>
      <c r="JL32" s="328" t="s">
        <v>198</v>
      </c>
    </row>
    <row r="33" spans="1:272" ht="15" customHeight="1">
      <c r="A33" s="332" t="s">
        <v>1623</v>
      </c>
      <c r="F33" s="71">
        <v>870</v>
      </c>
      <c r="G33" s="63" t="s">
        <v>67</v>
      </c>
      <c r="H33" s="367">
        <f>SUM(((VLOOKUP(A33,'REVEXP-UNADJ-FERC IS'!$B$8:$E$155,4,FALSE))))</f>
        <v>204700.61000000002</v>
      </c>
      <c r="I33" s="13">
        <f>SUM(K33:AO33)</f>
        <v>-7371.6159851867069</v>
      </c>
      <c r="J33" s="13">
        <f>H33+I33</f>
        <v>197328.9940148133</v>
      </c>
      <c r="AD33" s="53">
        <v>8439</v>
      </c>
      <c r="AN33" s="53">
        <v>-11408.5</v>
      </c>
      <c r="AO33" s="53">
        <v>-4402.1159851867069</v>
      </c>
      <c r="AR33" s="55"/>
      <c r="CL33" s="49"/>
      <c r="CM33" s="55"/>
      <c r="CU33" s="49"/>
      <c r="ED33" s="49"/>
      <c r="EE33" s="55"/>
      <c r="EH33" s="49"/>
      <c r="EN33" s="49"/>
      <c r="ET33" s="49"/>
      <c r="EU33" s="55"/>
      <c r="JK33" s="327"/>
      <c r="JL33" s="328" t="s">
        <v>199</v>
      </c>
    </row>
    <row r="34" spans="1:272" ht="15" customHeight="1" thickBot="1">
      <c r="F34" s="62"/>
      <c r="G34" s="73" t="s">
        <v>200</v>
      </c>
      <c r="H34" s="24">
        <f>SUM(H30:H33)</f>
        <v>218908.01</v>
      </c>
      <c r="I34" s="24">
        <f>SUM(I30:I33)</f>
        <v>-7371.6159851867069</v>
      </c>
      <c r="J34" s="24">
        <f>SUM(J30:J33)</f>
        <v>211536.3940148133</v>
      </c>
      <c r="AR34" s="55"/>
      <c r="CL34" s="49"/>
      <c r="CM34" s="55"/>
      <c r="CU34" s="49"/>
      <c r="ED34" s="49"/>
      <c r="EE34" s="55"/>
      <c r="ET34" s="49"/>
      <c r="EU34" s="55"/>
      <c r="JK34" s="327"/>
      <c r="JL34" s="328"/>
    </row>
    <row r="35" spans="1:272" ht="15" customHeight="1" thickTop="1">
      <c r="F35" s="62"/>
      <c r="G35" s="61"/>
      <c r="H35" s="354"/>
      <c r="I35" s="52"/>
      <c r="J35" s="52"/>
      <c r="AR35" s="55"/>
      <c r="CL35" s="49"/>
      <c r="CM35" s="55"/>
      <c r="CU35" s="49"/>
      <c r="ED35" s="49"/>
      <c r="EE35" s="55"/>
      <c r="ET35" s="49"/>
      <c r="EU35" s="55"/>
      <c r="JK35" s="327"/>
      <c r="JL35" s="328"/>
    </row>
    <row r="36" spans="1:272" ht="15" customHeight="1">
      <c r="F36" s="72"/>
      <c r="G36" s="61" t="s">
        <v>49</v>
      </c>
      <c r="H36" s="356"/>
      <c r="I36" s="54"/>
      <c r="AR36" s="55"/>
      <c r="CL36" s="49"/>
      <c r="CM36" s="55"/>
      <c r="CU36" s="49"/>
      <c r="ED36" s="49"/>
      <c r="EE36" s="55"/>
      <c r="ET36" s="49"/>
      <c r="EU36" s="55"/>
      <c r="JK36" s="327"/>
      <c r="JL36" s="328"/>
    </row>
    <row r="37" spans="1:272" ht="15" customHeight="1">
      <c r="A37" s="332" t="s">
        <v>1624</v>
      </c>
      <c r="F37" s="62">
        <v>871</v>
      </c>
      <c r="G37" s="63" t="s">
        <v>68</v>
      </c>
      <c r="H37" s="367">
        <f>SUM(((VLOOKUP(A37,'REVEXP-UNADJ-FERC IS'!$B$8:$E$155,4,FALSE))))</f>
        <v>69730.259999999995</v>
      </c>
      <c r="I37" s="13">
        <f t="shared" ref="I37:I51" si="8">SUM(K37:AO37)</f>
        <v>-69730.259999999995</v>
      </c>
      <c r="J37" s="13">
        <f t="shared" ref="J37:J51" si="9">H37+I37</f>
        <v>0</v>
      </c>
      <c r="W37" s="53">
        <v>-69730.259999999995</v>
      </c>
      <c r="AR37" s="55"/>
      <c r="CL37" s="49"/>
      <c r="CM37" s="55"/>
      <c r="CU37" s="49"/>
      <c r="ED37" s="49"/>
      <c r="EE37" s="55"/>
      <c r="ET37" s="49"/>
      <c r="EU37" s="55"/>
      <c r="JK37" s="327"/>
      <c r="JL37" s="328" t="s">
        <v>201</v>
      </c>
    </row>
    <row r="38" spans="1:272" ht="15" customHeight="1">
      <c r="A38" s="332" t="s">
        <v>1625</v>
      </c>
      <c r="F38" s="62">
        <v>874</v>
      </c>
      <c r="G38" s="63" t="s">
        <v>69</v>
      </c>
      <c r="H38" s="367">
        <f>SUM(((VLOOKUP(A38,'REVEXP-UNADJ-FERC IS'!$B$8:$E$155,4,FALSE))))</f>
        <v>2304754</v>
      </c>
      <c r="I38" s="13">
        <f t="shared" si="8"/>
        <v>-42199.880311716879</v>
      </c>
      <c r="J38" s="13">
        <f t="shared" si="9"/>
        <v>2262554.1196882832</v>
      </c>
      <c r="W38" s="53">
        <v>-1317.1</v>
      </c>
      <c r="AD38" s="53">
        <v>98806</v>
      </c>
      <c r="AN38" s="53">
        <v>-85368.5</v>
      </c>
      <c r="AO38" s="53">
        <v>-54320.280311716873</v>
      </c>
      <c r="AP38" s="66"/>
      <c r="AQ38" s="1122"/>
      <c r="AR38" s="55"/>
      <c r="CL38" s="49"/>
      <c r="CM38" s="55"/>
      <c r="CU38" s="49"/>
      <c r="ED38" s="49"/>
      <c r="EE38" s="55"/>
      <c r="ET38" s="49"/>
      <c r="EU38" s="55"/>
      <c r="JK38" s="327"/>
      <c r="JL38" s="328" t="s">
        <v>202</v>
      </c>
    </row>
    <row r="39" spans="1:272" ht="15" customHeight="1">
      <c r="A39" s="332" t="s">
        <v>1626</v>
      </c>
      <c r="F39" s="62">
        <v>875</v>
      </c>
      <c r="G39" s="63" t="s">
        <v>250</v>
      </c>
      <c r="H39" s="367">
        <f>SUM(((VLOOKUP(A39,'REVEXP-UNADJ-FERC IS'!$B$8:$E$155,4,FALSE))))</f>
        <v>421498.74000000005</v>
      </c>
      <c r="I39" s="13">
        <f t="shared" si="8"/>
        <v>-3447.4710440787248</v>
      </c>
      <c r="J39" s="13">
        <f t="shared" si="9"/>
        <v>418051.26895592135</v>
      </c>
      <c r="AD39" s="53">
        <v>10104</v>
      </c>
      <c r="AN39" s="53">
        <v>-8336</v>
      </c>
      <c r="AO39" s="53">
        <v>-5215.4710440787248</v>
      </c>
      <c r="AP39" s="66"/>
      <c r="AR39" s="55"/>
      <c r="CL39" s="49"/>
      <c r="CM39" s="55"/>
      <c r="CU39" s="49"/>
      <c r="ED39" s="49"/>
      <c r="EE39" s="55"/>
      <c r="ET39" s="49"/>
      <c r="EU39" s="55"/>
      <c r="JK39" s="327"/>
      <c r="JL39" s="328" t="s">
        <v>203</v>
      </c>
    </row>
    <row r="40" spans="1:272" ht="15" customHeight="1">
      <c r="A40" s="332" t="s">
        <v>1627</v>
      </c>
      <c r="F40" s="62">
        <v>876</v>
      </c>
      <c r="G40" s="63" t="s">
        <v>70</v>
      </c>
      <c r="H40" s="367">
        <f>SUM(((VLOOKUP(A40,'REVEXP-UNADJ-FERC IS'!$B$8:$E$155,4,FALSE))))</f>
        <v>150178.63000000003</v>
      </c>
      <c r="I40" s="13">
        <f t="shared" si="8"/>
        <v>-25489.97158872824</v>
      </c>
      <c r="J40" s="13">
        <f t="shared" si="9"/>
        <v>124688.6584112718</v>
      </c>
      <c r="W40" s="53">
        <v>-28599.11</v>
      </c>
      <c r="AD40" s="53">
        <v>6691</v>
      </c>
      <c r="AO40" s="53">
        <v>-3581.8615887282385</v>
      </c>
      <c r="AR40" s="55"/>
      <c r="CL40" s="49"/>
      <c r="CM40" s="55"/>
      <c r="CU40" s="49"/>
      <c r="ED40" s="49"/>
      <c r="EE40" s="55"/>
      <c r="ET40" s="49"/>
      <c r="EU40" s="55"/>
      <c r="JK40" s="327"/>
      <c r="JL40" s="328" t="s">
        <v>204</v>
      </c>
    </row>
    <row r="41" spans="1:272" ht="15" customHeight="1">
      <c r="A41" s="332" t="s">
        <v>1628</v>
      </c>
      <c r="F41" s="62">
        <v>877</v>
      </c>
      <c r="G41" s="63" t="s">
        <v>71</v>
      </c>
      <c r="H41" s="367">
        <f>SUM(((VLOOKUP(A41,'REVEXP-UNADJ-FERC IS'!$B$8:$E$155,4,FALSE))))</f>
        <v>76488.78</v>
      </c>
      <c r="I41" s="13">
        <f t="shared" si="8"/>
        <v>747.37637050697845</v>
      </c>
      <c r="J41" s="13">
        <f t="shared" si="9"/>
        <v>77236.156370506971</v>
      </c>
      <c r="AD41" s="53">
        <v>1458</v>
      </c>
      <c r="AO41" s="53">
        <v>-710.62362949302155</v>
      </c>
      <c r="AR41" s="55"/>
      <c r="CL41" s="49"/>
      <c r="CM41" s="55"/>
      <c r="CU41" s="49"/>
      <c r="ED41" s="49"/>
      <c r="EE41" s="55"/>
      <c r="ET41" s="49"/>
      <c r="EU41" s="55"/>
      <c r="JK41" s="327"/>
      <c r="JL41" s="328" t="s">
        <v>205</v>
      </c>
    </row>
    <row r="42" spans="1:272" ht="15" customHeight="1">
      <c r="A42" s="332" t="s">
        <v>1629</v>
      </c>
      <c r="F42" s="62">
        <v>878</v>
      </c>
      <c r="G42" s="63" t="s">
        <v>72</v>
      </c>
      <c r="H42" s="367">
        <f>SUM(((VLOOKUP(A42,'REVEXP-UNADJ-FERC IS'!$B$8:$E$155,4,FALSE))))</f>
        <v>1434448.78</v>
      </c>
      <c r="I42" s="13">
        <f t="shared" si="8"/>
        <v>39423.76779315505</v>
      </c>
      <c r="J42" s="13">
        <f t="shared" si="9"/>
        <v>1473872.5477931551</v>
      </c>
      <c r="AD42" s="53">
        <v>73446</v>
      </c>
      <c r="AO42" s="53">
        <v>-34022.23220684495</v>
      </c>
      <c r="AR42" s="55"/>
      <c r="CL42" s="49"/>
      <c r="CM42" s="55"/>
      <c r="CU42" s="49"/>
      <c r="ED42" s="49"/>
      <c r="EE42" s="55"/>
      <c r="ET42" s="49"/>
      <c r="EU42" s="55"/>
      <c r="JK42" s="327"/>
      <c r="JL42" s="328" t="s">
        <v>206</v>
      </c>
    </row>
    <row r="43" spans="1:272" ht="15" customHeight="1">
      <c r="A43" s="332" t="s">
        <v>1630</v>
      </c>
      <c r="F43" s="62">
        <v>879</v>
      </c>
      <c r="G43" s="63" t="s">
        <v>73</v>
      </c>
      <c r="H43" s="367">
        <f>SUM(((VLOOKUP(A43,'REVEXP-UNADJ-FERC IS'!$B$8:$E$155,4,FALSE))))</f>
        <v>1317317.9200000002</v>
      </c>
      <c r="I43" s="13">
        <f t="shared" si="8"/>
        <v>53090.104504240968</v>
      </c>
      <c r="J43" s="13">
        <f t="shared" si="9"/>
        <v>1370408.0245042411</v>
      </c>
      <c r="AD43" s="53">
        <v>78863</v>
      </c>
      <c r="AO43" s="53">
        <v>-25772.895495759036</v>
      </c>
      <c r="AR43" s="55"/>
      <c r="CL43" s="49"/>
      <c r="CM43" s="55"/>
      <c r="CU43" s="49"/>
      <c r="ED43" s="49"/>
      <c r="EE43" s="55"/>
      <c r="ET43" s="49"/>
      <c r="EU43" s="55"/>
      <c r="JK43" s="327"/>
      <c r="JL43" s="328" t="s">
        <v>207</v>
      </c>
    </row>
    <row r="44" spans="1:272" ht="15" customHeight="1">
      <c r="A44" s="332" t="s">
        <v>1631</v>
      </c>
      <c r="F44" s="62">
        <v>880</v>
      </c>
      <c r="G44" s="63" t="s">
        <v>74</v>
      </c>
      <c r="H44" s="367">
        <f>SUM(((VLOOKUP(A44,'REVEXP-UNADJ-FERC IS'!$B$8:$E$155,4,FALSE))))</f>
        <v>2340730.92</v>
      </c>
      <c r="I44" s="13">
        <f t="shared" si="8"/>
        <v>-14179.193351602646</v>
      </c>
      <c r="J44" s="13">
        <f t="shared" si="9"/>
        <v>2326551.7266483973</v>
      </c>
      <c r="AD44" s="53">
        <v>29132</v>
      </c>
      <c r="AN44" s="53">
        <v>-27749</v>
      </c>
      <c r="AO44" s="53">
        <v>-15562.193351602646</v>
      </c>
      <c r="AP44" s="66"/>
      <c r="AR44" s="55"/>
      <c r="CL44" s="49"/>
      <c r="CM44" s="55"/>
      <c r="CU44" s="49"/>
      <c r="ED44" s="49"/>
      <c r="EE44" s="55"/>
      <c r="ET44" s="49"/>
      <c r="EU44" s="55"/>
      <c r="JK44" s="327"/>
      <c r="JL44" s="328" t="s">
        <v>208</v>
      </c>
    </row>
    <row r="45" spans="1:272" ht="15" customHeight="1">
      <c r="A45" s="332" t="s">
        <v>1632</v>
      </c>
      <c r="F45" s="71">
        <v>881</v>
      </c>
      <c r="G45" s="63" t="s">
        <v>75</v>
      </c>
      <c r="H45" s="367">
        <f>SUM(((VLOOKUP(A45,'REVEXP-UNADJ-FERC IS'!$B$8:$E$155,4,FALSE))))</f>
        <v>21291.199999999997</v>
      </c>
      <c r="I45" s="13">
        <f t="shared" si="8"/>
        <v>0</v>
      </c>
      <c r="J45" s="13">
        <f t="shared" si="9"/>
        <v>21291.199999999997</v>
      </c>
      <c r="AP45" s="66"/>
      <c r="AR45" s="55"/>
      <c r="CL45" s="49"/>
      <c r="CM45" s="55"/>
      <c r="CU45" s="49"/>
      <c r="ED45" s="49"/>
      <c r="EE45" s="55"/>
      <c r="ET45" s="49"/>
      <c r="EU45" s="55"/>
      <c r="JK45" s="327"/>
      <c r="JL45" s="328" t="s">
        <v>209</v>
      </c>
    </row>
    <row r="46" spans="1:272" ht="15" customHeight="1">
      <c r="A46" s="332" t="s">
        <v>1633</v>
      </c>
      <c r="F46" s="71">
        <v>885</v>
      </c>
      <c r="G46" s="63" t="s">
        <v>76</v>
      </c>
      <c r="H46" s="367">
        <f>SUM(((VLOOKUP(A46,'REVEXP-UNADJ-FERC IS'!$B$8:$E$155,4,FALSE))))</f>
        <v>213416.61000000002</v>
      </c>
      <c r="I46" s="13">
        <f t="shared" si="8"/>
        <v>-8238.4164053073073</v>
      </c>
      <c r="J46" s="13">
        <f t="shared" si="9"/>
        <v>205178.19359469271</v>
      </c>
      <c r="AD46" s="53">
        <v>9449</v>
      </c>
      <c r="AN46" s="53">
        <v>-12909</v>
      </c>
      <c r="AO46" s="53">
        <v>-4778.4164053073073</v>
      </c>
      <c r="AP46" s="66"/>
      <c r="AR46" s="55"/>
      <c r="CL46" s="49"/>
      <c r="CM46" s="55"/>
      <c r="CU46" s="49"/>
      <c r="ED46" s="49"/>
      <c r="EE46" s="55"/>
      <c r="ET46" s="49"/>
      <c r="EU46" s="55"/>
      <c r="JK46" s="327"/>
      <c r="JL46" s="328" t="s">
        <v>210</v>
      </c>
    </row>
    <row r="47" spans="1:272" ht="15" customHeight="1">
      <c r="A47" s="332" t="s">
        <v>1634</v>
      </c>
      <c r="F47" s="71">
        <v>887</v>
      </c>
      <c r="G47" s="63" t="s">
        <v>77</v>
      </c>
      <c r="H47" s="367">
        <f>SUM(((VLOOKUP(A47,'REVEXP-UNADJ-FERC IS'!$B$8:$E$155,4,FALSE))))</f>
        <v>551888.12</v>
      </c>
      <c r="I47" s="13">
        <f t="shared" si="8"/>
        <v>35087.000930359471</v>
      </c>
      <c r="J47" s="13">
        <f t="shared" si="9"/>
        <v>586975.12093035947</v>
      </c>
      <c r="AD47" s="53">
        <v>62073</v>
      </c>
      <c r="AN47" s="53">
        <v>-17208</v>
      </c>
      <c r="AO47" s="53">
        <v>-9777.9990696405293</v>
      </c>
      <c r="AR47" s="55"/>
      <c r="CL47" s="49"/>
      <c r="CM47" s="55"/>
      <c r="ED47" s="49"/>
      <c r="EE47" s="55"/>
      <c r="ET47" s="49"/>
      <c r="EU47" s="55"/>
      <c r="JK47" s="327"/>
      <c r="JL47" s="328" t="s">
        <v>211</v>
      </c>
    </row>
    <row r="48" spans="1:272" ht="15" customHeight="1">
      <c r="A48" s="332" t="s">
        <v>1635</v>
      </c>
      <c r="F48" s="71">
        <v>889</v>
      </c>
      <c r="G48" s="63" t="s">
        <v>251</v>
      </c>
      <c r="H48" s="367">
        <f>SUM(((VLOOKUP(A48,'REVEXP-UNADJ-FERC IS'!$B$8:$E$155,4,FALSE))))</f>
        <v>7390.19</v>
      </c>
      <c r="I48" s="13">
        <f t="shared" si="8"/>
        <v>9.570525077733631</v>
      </c>
      <c r="J48" s="13">
        <f t="shared" si="9"/>
        <v>7399.7605250777333</v>
      </c>
      <c r="AD48" s="53">
        <v>26</v>
      </c>
      <c r="AO48" s="53">
        <v>-16.429474922266369</v>
      </c>
      <c r="AR48" s="55"/>
      <c r="CL48" s="49"/>
      <c r="CM48" s="55"/>
      <c r="ED48" s="49"/>
      <c r="EE48" s="55"/>
      <c r="ET48" s="49"/>
      <c r="EU48" s="55"/>
      <c r="JK48" s="327"/>
      <c r="JL48" s="328" t="s">
        <v>212</v>
      </c>
    </row>
    <row r="49" spans="1:272" ht="15" customHeight="1">
      <c r="A49" s="332" t="s">
        <v>1636</v>
      </c>
      <c r="F49" s="71">
        <v>892</v>
      </c>
      <c r="G49" s="63" t="s">
        <v>78</v>
      </c>
      <c r="H49" s="367">
        <f>SUM(((VLOOKUP(A49,'REVEXP-UNADJ-FERC IS'!$B$8:$E$155,4,FALSE))))</f>
        <v>211494.80000000005</v>
      </c>
      <c r="I49" s="13">
        <f t="shared" si="8"/>
        <v>100509.84396970725</v>
      </c>
      <c r="J49" s="13">
        <f t="shared" si="9"/>
        <v>312004.64396970731</v>
      </c>
      <c r="AD49" s="53">
        <v>107094</v>
      </c>
      <c r="AO49" s="53">
        <v>-6584.1560302927483</v>
      </c>
      <c r="AR49" s="55"/>
      <c r="CL49" s="49"/>
      <c r="CM49" s="55"/>
      <c r="ED49" s="49"/>
      <c r="EE49" s="55"/>
      <c r="ET49" s="49"/>
      <c r="EU49" s="55"/>
      <c r="JK49" s="327"/>
      <c r="JL49" s="328" t="s">
        <v>213</v>
      </c>
    </row>
    <row r="50" spans="1:272" ht="15" customHeight="1">
      <c r="A50" s="332" t="s">
        <v>1637</v>
      </c>
      <c r="F50" s="71">
        <v>893</v>
      </c>
      <c r="G50" s="63" t="s">
        <v>79</v>
      </c>
      <c r="H50" s="367">
        <f>SUM(((VLOOKUP(A50,'REVEXP-UNADJ-FERC IS'!$B$8:$E$155,4,FALSE))))</f>
        <v>289936.96000000002</v>
      </c>
      <c r="I50" s="13">
        <f t="shared" si="8"/>
        <v>7486.5264479398338</v>
      </c>
      <c r="J50" s="13">
        <f t="shared" si="9"/>
        <v>297423.48644793988</v>
      </c>
      <c r="AD50" s="53">
        <v>15289</v>
      </c>
      <c r="AO50" s="53">
        <v>-7802.4735520601662</v>
      </c>
      <c r="AR50" s="55"/>
      <c r="CL50" s="49"/>
      <c r="CM50" s="55"/>
      <c r="ED50" s="49"/>
      <c r="EE50" s="55"/>
      <c r="ET50" s="49"/>
      <c r="EU50" s="55"/>
      <c r="JK50" s="327"/>
      <c r="JL50" s="328" t="s">
        <v>214</v>
      </c>
    </row>
    <row r="51" spans="1:272" ht="15" customHeight="1">
      <c r="A51" s="332" t="s">
        <v>1638</v>
      </c>
      <c r="F51" s="71">
        <v>894</v>
      </c>
      <c r="G51" s="63" t="s">
        <v>80</v>
      </c>
      <c r="H51" s="367">
        <f>SUM(((VLOOKUP(A51,'REVEXP-UNADJ-FERC IS'!$B$8:$E$155,4,FALSE))))</f>
        <v>85079.290000000008</v>
      </c>
      <c r="I51" s="13">
        <f t="shared" si="8"/>
        <v>194.59508757853291</v>
      </c>
      <c r="J51" s="13">
        <f t="shared" si="9"/>
        <v>85273.885087578543</v>
      </c>
      <c r="AD51" s="53">
        <v>429</v>
      </c>
      <c r="AO51" s="53">
        <v>-234.40491242146709</v>
      </c>
      <c r="AR51" s="55"/>
      <c r="CL51" s="49"/>
      <c r="CM51" s="55"/>
      <c r="ED51" s="49"/>
      <c r="EE51" s="55"/>
      <c r="ET51" s="49"/>
      <c r="EU51" s="55"/>
      <c r="JK51" s="327"/>
      <c r="JL51" s="328" t="s">
        <v>215</v>
      </c>
    </row>
    <row r="52" spans="1:272" ht="15" customHeight="1" thickBot="1">
      <c r="F52" s="62"/>
      <c r="G52" s="73" t="s">
        <v>252</v>
      </c>
      <c r="H52" s="24">
        <f>SUM(H37:H51)</f>
        <v>9495645.1999999993</v>
      </c>
      <c r="I52" s="24">
        <f>SUM(I37:I51)</f>
        <v>73263.592927131991</v>
      </c>
      <c r="J52" s="24">
        <f>SUM(J37:J51)</f>
        <v>9568908.7929271311</v>
      </c>
      <c r="AR52" s="55"/>
      <c r="CL52" s="49"/>
      <c r="CM52" s="55"/>
      <c r="ED52" s="49"/>
      <c r="EE52" s="55"/>
      <c r="ET52" s="49"/>
      <c r="EU52" s="55"/>
      <c r="JK52" s="327"/>
      <c r="JL52" s="328"/>
    </row>
    <row r="53" spans="1:272" ht="15" customHeight="1" thickTop="1">
      <c r="F53" s="74"/>
      <c r="G53" s="75"/>
      <c r="H53" s="355"/>
      <c r="I53" s="52"/>
      <c r="J53" s="52"/>
      <c r="AR53" s="55"/>
      <c r="CL53" s="49"/>
      <c r="CM53" s="55"/>
      <c r="ED53" s="49"/>
      <c r="EE53" s="55"/>
      <c r="ET53" s="49"/>
      <c r="EU53" s="55"/>
      <c r="JK53" s="327"/>
      <c r="JL53" s="328"/>
    </row>
    <row r="54" spans="1:272" ht="15" customHeight="1">
      <c r="F54" s="62"/>
      <c r="G54" s="61" t="s">
        <v>81</v>
      </c>
      <c r="H54" s="357"/>
      <c r="I54" s="52"/>
      <c r="J54" s="52"/>
      <c r="AR54" s="55"/>
      <c r="CL54" s="49"/>
      <c r="CM54" s="55"/>
      <c r="ED54" s="49"/>
      <c r="EE54" s="55"/>
      <c r="ET54" s="49"/>
      <c r="EU54" s="55"/>
      <c r="JK54" s="327"/>
      <c r="JL54" s="328"/>
    </row>
    <row r="55" spans="1:272" ht="15" customHeight="1">
      <c r="A55" s="332" t="s">
        <v>1639</v>
      </c>
      <c r="F55" s="62">
        <v>901</v>
      </c>
      <c r="G55" s="63" t="s">
        <v>82</v>
      </c>
      <c r="H55" s="367">
        <f>SUM(((VLOOKUP(A55,'REVEXP-UNADJ-FERC IS'!$B$8:$E$155,4,FALSE))))</f>
        <v>90911.52</v>
      </c>
      <c r="I55" s="13">
        <f t="shared" ref="I55:I64" si="10">SUM(K55:AO55)</f>
        <v>-570.00097848307178</v>
      </c>
      <c r="J55" s="13">
        <f t="shared" ref="J55:J64" si="11">H55+I55</f>
        <v>90341.519021516928</v>
      </c>
      <c r="AD55" s="53">
        <v>1696</v>
      </c>
      <c r="AO55" s="53">
        <v>-2266.0009784830718</v>
      </c>
      <c r="AR55" s="55"/>
      <c r="CL55" s="49"/>
      <c r="CM55" s="55"/>
      <c r="ED55" s="49"/>
      <c r="EE55" s="55"/>
      <c r="ET55" s="49"/>
      <c r="EU55" s="55"/>
      <c r="JK55" s="327"/>
      <c r="JL55" s="328" t="s">
        <v>216</v>
      </c>
    </row>
    <row r="56" spans="1:272" ht="15" customHeight="1">
      <c r="A56" s="332" t="s">
        <v>1640</v>
      </c>
      <c r="F56" s="62">
        <v>902</v>
      </c>
      <c r="G56" s="63" t="s">
        <v>83</v>
      </c>
      <c r="H56" s="367">
        <f>SUM(((VLOOKUP(A56,'REVEXP-UNADJ-FERC IS'!$B$8:$E$155,4,FALSE))))</f>
        <v>108560.73000000001</v>
      </c>
      <c r="I56" s="13">
        <f t="shared" si="10"/>
        <v>385.84152560308439</v>
      </c>
      <c r="J56" s="13">
        <f t="shared" si="11"/>
        <v>108946.5715256031</v>
      </c>
      <c r="AD56" s="53">
        <v>3516</v>
      </c>
      <c r="AO56" s="53">
        <v>-3130.1584743969156</v>
      </c>
      <c r="AR56" s="55"/>
      <c r="CL56" s="49"/>
      <c r="CM56" s="55"/>
      <c r="ED56" s="49"/>
      <c r="EE56" s="55"/>
      <c r="ET56" s="49"/>
      <c r="EU56" s="55"/>
      <c r="JK56" s="327"/>
      <c r="JL56" s="328" t="s">
        <v>217</v>
      </c>
    </row>
    <row r="57" spans="1:272" ht="15" customHeight="1">
      <c r="A57" s="332" t="s">
        <v>1641</v>
      </c>
      <c r="F57" s="62">
        <v>903</v>
      </c>
      <c r="G57" s="63" t="s">
        <v>84</v>
      </c>
      <c r="H57" s="367">
        <f>SUM(((VLOOKUP(A57,'REVEXP-UNADJ-FERC IS'!$B$8:$E$155,4,FALSE))))</f>
        <v>5724166.54</v>
      </c>
      <c r="I57" s="13">
        <f t="shared" si="10"/>
        <v>50909.476629318917</v>
      </c>
      <c r="J57" s="13">
        <f t="shared" si="11"/>
        <v>5775076.0166293187</v>
      </c>
      <c r="AC57" s="53">
        <v>18483.45</v>
      </c>
      <c r="AD57" s="53">
        <v>60361</v>
      </c>
      <c r="AO57" s="53">
        <v>-27934.973370681077</v>
      </c>
      <c r="AR57" s="55"/>
      <c r="CL57" s="49"/>
      <c r="CM57" s="55"/>
      <c r="ED57" s="49"/>
      <c r="EE57" s="55"/>
      <c r="ET57" s="49"/>
      <c r="EU57" s="55"/>
      <c r="JK57" s="327"/>
      <c r="JL57" s="328" t="s">
        <v>218</v>
      </c>
    </row>
    <row r="58" spans="1:272" ht="15" customHeight="1">
      <c r="A58" s="332" t="s">
        <v>1642</v>
      </c>
      <c r="F58" s="62">
        <v>904</v>
      </c>
      <c r="G58" s="63" t="s">
        <v>317</v>
      </c>
      <c r="H58" s="367">
        <f>SUM(((VLOOKUP(A58,'REVEXP-UNADJ-FERC IS'!$B$8:$E$155,4,FALSE))))</f>
        <v>298910.24</v>
      </c>
      <c r="I58" s="13">
        <f t="shared" si="10"/>
        <v>-17793</v>
      </c>
      <c r="J58" s="13">
        <f t="shared" si="11"/>
        <v>281117.24</v>
      </c>
      <c r="M58" s="53">
        <v>-17793</v>
      </c>
      <c r="AR58" s="55"/>
      <c r="CL58" s="49"/>
      <c r="CM58" s="55"/>
      <c r="ED58" s="49"/>
      <c r="EE58" s="55"/>
      <c r="ET58" s="49"/>
      <c r="EU58" s="55"/>
      <c r="JK58" s="327"/>
      <c r="JL58" s="328" t="s">
        <v>219</v>
      </c>
    </row>
    <row r="59" spans="1:272" ht="15" customHeight="1">
      <c r="A59" s="332"/>
      <c r="F59" s="62">
        <v>905</v>
      </c>
      <c r="G59" s="63" t="s">
        <v>85</v>
      </c>
      <c r="H59" s="368">
        <v>0</v>
      </c>
      <c r="I59" s="13">
        <f t="shared" si="10"/>
        <v>0</v>
      </c>
      <c r="J59" s="13">
        <f t="shared" si="11"/>
        <v>0</v>
      </c>
      <c r="AR59" s="55"/>
      <c r="CL59" s="49"/>
      <c r="CM59" s="55"/>
      <c r="ED59" s="49"/>
      <c r="EE59" s="55"/>
      <c r="ET59" s="49"/>
      <c r="EU59" s="55"/>
      <c r="JK59" s="327"/>
      <c r="JL59" s="328" t="s">
        <v>220</v>
      </c>
    </row>
    <row r="60" spans="1:272" ht="15" customHeight="1">
      <c r="A60" s="332"/>
      <c r="F60" s="62">
        <v>907</v>
      </c>
      <c r="G60" s="63" t="s">
        <v>86</v>
      </c>
      <c r="H60" s="368">
        <v>0</v>
      </c>
      <c r="I60" s="13">
        <f t="shared" si="10"/>
        <v>54000</v>
      </c>
      <c r="J60" s="13">
        <f t="shared" si="11"/>
        <v>54000</v>
      </c>
      <c r="AD60" s="53">
        <v>54000</v>
      </c>
      <c r="AR60" s="55"/>
      <c r="CL60" s="49"/>
      <c r="CM60" s="55"/>
      <c r="ED60" s="49"/>
      <c r="EE60" s="55"/>
      <c r="ET60" s="49"/>
      <c r="EU60" s="55"/>
      <c r="JK60" s="327"/>
      <c r="JL60" s="328" t="s">
        <v>221</v>
      </c>
    </row>
    <row r="61" spans="1:272" ht="15" customHeight="1">
      <c r="A61" s="332" t="s">
        <v>1643</v>
      </c>
      <c r="F61" s="62">
        <v>908</v>
      </c>
      <c r="G61" s="63" t="s">
        <v>87</v>
      </c>
      <c r="H61" s="367">
        <f>SUM(((VLOOKUP(A61,'REVEXP-UNADJ-FERC IS'!$B$8:$E$155,4,FALSE))))</f>
        <v>57969.98</v>
      </c>
      <c r="I61" s="13">
        <f t="shared" si="10"/>
        <v>56135.874924733595</v>
      </c>
      <c r="J61" s="13">
        <f t="shared" si="11"/>
        <v>114105.85492473361</v>
      </c>
      <c r="T61" s="53">
        <v>55977.486666666664</v>
      </c>
      <c r="AD61" s="53">
        <v>389</v>
      </c>
      <c r="AO61" s="53">
        <v>-230.61174193307224</v>
      </c>
      <c r="AR61" s="55"/>
      <c r="CL61" s="49"/>
      <c r="CM61" s="55"/>
      <c r="ED61" s="49"/>
      <c r="EE61" s="55"/>
      <c r="ET61" s="49"/>
      <c r="EU61" s="55"/>
      <c r="JK61" s="327"/>
      <c r="JL61" s="328" t="s">
        <v>222</v>
      </c>
    </row>
    <row r="62" spans="1:272" ht="15" customHeight="1">
      <c r="A62" s="332" t="s">
        <v>1644</v>
      </c>
      <c r="F62" s="62">
        <v>909</v>
      </c>
      <c r="G62" s="63" t="s">
        <v>88</v>
      </c>
      <c r="H62" s="367">
        <f>SUM(((VLOOKUP(A62,'REVEXP-UNADJ-FERC IS'!$B$8:$E$155,4,FALSE))))</f>
        <v>371903.09</v>
      </c>
      <c r="I62" s="13">
        <f t="shared" si="10"/>
        <v>0</v>
      </c>
      <c r="J62" s="13">
        <f t="shared" si="11"/>
        <v>371903.09</v>
      </c>
      <c r="AR62" s="55"/>
      <c r="CL62" s="49"/>
      <c r="CM62" s="55"/>
      <c r="ED62" s="49"/>
      <c r="EE62" s="55"/>
      <c r="ET62" s="49"/>
      <c r="EU62" s="55"/>
      <c r="JK62" s="327"/>
      <c r="JL62" s="328" t="s">
        <v>223</v>
      </c>
    </row>
    <row r="63" spans="1:272" ht="15" customHeight="1">
      <c r="A63" s="332" t="s">
        <v>1645</v>
      </c>
      <c r="F63" s="62">
        <v>910</v>
      </c>
      <c r="G63" s="63" t="s">
        <v>89</v>
      </c>
      <c r="H63" s="367">
        <f>SUM(((VLOOKUP(A63,'REVEXP-UNADJ-FERC IS'!$B$8:$E$155,4,FALSE))))</f>
        <v>25.880000000000003</v>
      </c>
      <c r="I63" s="13">
        <f t="shared" si="10"/>
        <v>0</v>
      </c>
      <c r="J63" s="13">
        <f t="shared" si="11"/>
        <v>25.880000000000003</v>
      </c>
      <c r="AR63" s="55"/>
      <c r="CL63" s="49"/>
      <c r="CM63" s="55"/>
      <c r="ED63" s="49"/>
      <c r="EE63" s="55"/>
      <c r="ET63" s="49"/>
      <c r="EU63" s="55"/>
      <c r="JK63" s="327"/>
      <c r="JL63" s="328" t="s">
        <v>224</v>
      </c>
    </row>
    <row r="64" spans="1:272" ht="15" customHeight="1">
      <c r="F64" s="71"/>
      <c r="G64" s="63" t="s">
        <v>634</v>
      </c>
      <c r="H64" s="368">
        <v>0</v>
      </c>
      <c r="I64" s="13">
        <f t="shared" si="10"/>
        <v>0</v>
      </c>
      <c r="J64" s="13">
        <f t="shared" si="11"/>
        <v>0</v>
      </c>
      <c r="AR64" s="55"/>
      <c r="CL64" s="49"/>
      <c r="CM64" s="55"/>
      <c r="ED64" s="49"/>
      <c r="EE64" s="55"/>
      <c r="ET64" s="49"/>
      <c r="EU64" s="55"/>
      <c r="JK64" s="327"/>
      <c r="JL64" s="328" t="s">
        <v>225</v>
      </c>
    </row>
    <row r="65" spans="1:272" ht="15" customHeight="1" thickBot="1">
      <c r="F65" s="71"/>
      <c r="G65" s="73" t="s">
        <v>328</v>
      </c>
      <c r="H65" s="24">
        <f>SUM(H55:H64)</f>
        <v>6652447.9800000004</v>
      </c>
      <c r="I65" s="24">
        <f>SUM(I55:I64)</f>
        <v>143068.19210117252</v>
      </c>
      <c r="J65" s="24">
        <f>SUM(J55:J64)</f>
        <v>6795516.1721011726</v>
      </c>
      <c r="AP65" s="66"/>
      <c r="AR65" s="55"/>
      <c r="CL65" s="49"/>
      <c r="CM65" s="55"/>
      <c r="CU65" s="49"/>
      <c r="ED65" s="49"/>
      <c r="EE65" s="55"/>
      <c r="ET65" s="49"/>
      <c r="EU65" s="55"/>
      <c r="JK65" s="327"/>
      <c r="JL65" s="328"/>
    </row>
    <row r="66" spans="1:272" ht="15" customHeight="1" thickTop="1">
      <c r="F66" s="71"/>
      <c r="G66" s="61"/>
      <c r="H66" s="355"/>
      <c r="I66" s="52"/>
      <c r="J66" s="52"/>
      <c r="AP66" s="66"/>
      <c r="AR66" s="55"/>
      <c r="CL66" s="49"/>
      <c r="CM66" s="55"/>
      <c r="CU66" s="49"/>
      <c r="ED66" s="49"/>
      <c r="EE66" s="55"/>
      <c r="ET66" s="49"/>
      <c r="EU66" s="55"/>
      <c r="JK66" s="327"/>
      <c r="JL66" s="328"/>
    </row>
    <row r="67" spans="1:272" ht="15" customHeight="1">
      <c r="F67" s="62"/>
      <c r="G67" s="61" t="s">
        <v>90</v>
      </c>
      <c r="H67" s="356"/>
      <c r="I67" s="54"/>
      <c r="AR67" s="55"/>
      <c r="CL67" s="49"/>
      <c r="CM67" s="55"/>
      <c r="ED67" s="49"/>
      <c r="EE67" s="55"/>
      <c r="ET67" s="49"/>
      <c r="EU67" s="55"/>
      <c r="JK67" s="327"/>
      <c r="JL67" s="328"/>
    </row>
    <row r="68" spans="1:272" ht="15" customHeight="1">
      <c r="A68" s="332" t="s">
        <v>1646</v>
      </c>
      <c r="F68" s="62">
        <v>920</v>
      </c>
      <c r="G68" s="63" t="s">
        <v>91</v>
      </c>
      <c r="H68" s="367">
        <f>SUM(((VLOOKUP(A68,'REVEXP-UNADJ-FERC IS'!$B$8:$E$155,4,FALSE))))</f>
        <v>5743326.5900000008</v>
      </c>
      <c r="I68" s="13">
        <f t="shared" ref="I68:I80" si="12">SUM(K68:AO68)</f>
        <v>-552634.52</v>
      </c>
      <c r="J68" s="13">
        <f t="shared" ref="J68:J80" si="13">H68+I68</f>
        <v>5190692.07</v>
      </c>
      <c r="U68" s="53">
        <v>-307896</v>
      </c>
      <c r="Z68" s="53">
        <v>-150977.51999999999</v>
      </c>
      <c r="AD68" s="53">
        <v>121518</v>
      </c>
      <c r="AN68" s="53">
        <v>-215279</v>
      </c>
      <c r="AR68" s="55"/>
      <c r="CL68" s="49"/>
      <c r="CM68" s="55"/>
      <c r="ED68" s="49"/>
      <c r="EE68" s="55"/>
      <c r="ET68" s="49"/>
      <c r="EU68" s="55"/>
      <c r="JK68" s="327"/>
      <c r="JL68" s="328" t="s">
        <v>226</v>
      </c>
    </row>
    <row r="69" spans="1:272" ht="15" customHeight="1">
      <c r="A69" s="332" t="s">
        <v>1647</v>
      </c>
      <c r="F69" s="62">
        <v>921</v>
      </c>
      <c r="G69" s="63" t="s">
        <v>248</v>
      </c>
      <c r="H69" s="367">
        <f>SUM(((VLOOKUP(A69,'REVEXP-UNADJ-FERC IS'!$B$8:$E$155,4,FALSE))))</f>
        <v>2286582.9200000004</v>
      </c>
      <c r="I69" s="13">
        <f t="shared" si="12"/>
        <v>-171942.46331306669</v>
      </c>
      <c r="J69" s="13">
        <f t="shared" si="13"/>
        <v>2114640.4566869335</v>
      </c>
      <c r="L69" s="53">
        <v>-284</v>
      </c>
      <c r="S69" s="53">
        <v>-90000</v>
      </c>
      <c r="U69" s="53">
        <v>-22971</v>
      </c>
      <c r="AO69" s="53">
        <v>-58687.463313066677</v>
      </c>
      <c r="AR69" s="55"/>
      <c r="CL69" s="49"/>
      <c r="CM69" s="55"/>
      <c r="ED69" s="49"/>
      <c r="EE69" s="55"/>
      <c r="ET69" s="49"/>
      <c r="EU69" s="55"/>
      <c r="JK69" s="327"/>
      <c r="JL69" s="328" t="s">
        <v>227</v>
      </c>
    </row>
    <row r="70" spans="1:272" ht="15" customHeight="1">
      <c r="A70" s="332" t="s">
        <v>1648</v>
      </c>
      <c r="F70" s="62">
        <v>922</v>
      </c>
      <c r="G70" s="63" t="s">
        <v>92</v>
      </c>
      <c r="H70" s="367">
        <f>SUM(((VLOOKUP(A70,'REVEXP-UNADJ-FERC IS'!$B$8:$E$155,4,FALSE))))</f>
        <v>-1885097.02</v>
      </c>
      <c r="I70" s="13">
        <f t="shared" si="12"/>
        <v>-65748</v>
      </c>
      <c r="J70" s="13">
        <f t="shared" si="13"/>
        <v>-1950845.02</v>
      </c>
      <c r="AD70" s="53">
        <v>-65748</v>
      </c>
      <c r="AR70" s="55"/>
      <c r="CL70" s="49"/>
      <c r="CM70" s="55"/>
      <c r="ED70" s="49"/>
      <c r="EE70" s="55"/>
      <c r="ET70" s="49"/>
      <c r="EU70" s="55"/>
      <c r="JK70" s="327"/>
      <c r="JL70" s="328" t="s">
        <v>228</v>
      </c>
    </row>
    <row r="71" spans="1:272" ht="15" customHeight="1">
      <c r="A71" s="332" t="s">
        <v>1649</v>
      </c>
      <c r="F71" s="62">
        <v>923</v>
      </c>
      <c r="G71" s="63" t="s">
        <v>246</v>
      </c>
      <c r="H71" s="367">
        <f>SUM(((VLOOKUP(A71,'REVEXP-UNADJ-FERC IS'!$B$8:$E$155,4,FALSE))))</f>
        <v>1459467.72</v>
      </c>
      <c r="I71" s="13">
        <f t="shared" si="12"/>
        <v>-86520</v>
      </c>
      <c r="J71" s="13">
        <f t="shared" si="13"/>
        <v>1372947.72</v>
      </c>
      <c r="U71" s="53">
        <v>-86520</v>
      </c>
      <c r="AP71" s="66"/>
      <c r="AR71" s="55"/>
      <c r="CL71" s="49"/>
      <c r="CM71" s="55"/>
      <c r="ED71" s="49"/>
      <c r="EE71" s="55"/>
      <c r="ET71" s="49"/>
      <c r="EU71" s="55"/>
      <c r="JK71" s="327"/>
      <c r="JL71" s="328" t="s">
        <v>229</v>
      </c>
    </row>
    <row r="72" spans="1:272" ht="15" customHeight="1">
      <c r="A72" s="332" t="s">
        <v>1650</v>
      </c>
      <c r="F72" s="62">
        <v>924</v>
      </c>
      <c r="G72" s="63" t="s">
        <v>93</v>
      </c>
      <c r="H72" s="367">
        <f>SUM(((VLOOKUP(A72,'REVEXP-UNADJ-FERC IS'!$B$8:$E$155,4,FALSE))))</f>
        <v>25075.460000000003</v>
      </c>
      <c r="I72" s="13">
        <f t="shared" si="12"/>
        <v>5646</v>
      </c>
      <c r="J72" s="13">
        <f t="shared" si="13"/>
        <v>30721.460000000003</v>
      </c>
      <c r="AH72" s="53">
        <v>5646</v>
      </c>
      <c r="AP72" s="66"/>
      <c r="AR72" s="55"/>
      <c r="CL72" s="49"/>
      <c r="CM72" s="55"/>
      <c r="ED72" s="49"/>
      <c r="EE72" s="55"/>
      <c r="ET72" s="49"/>
      <c r="EU72" s="55"/>
      <c r="JK72" s="327"/>
      <c r="JL72" s="328" t="s">
        <v>230</v>
      </c>
    </row>
    <row r="73" spans="1:272" ht="15" customHeight="1">
      <c r="A73" s="332" t="s">
        <v>1651</v>
      </c>
      <c r="F73" s="62">
        <v>925</v>
      </c>
      <c r="G73" s="63" t="s">
        <v>94</v>
      </c>
      <c r="H73" s="367">
        <f>SUM(((VLOOKUP(A73,'REVEXP-UNADJ-FERC IS'!$B$8:$E$155,4,FALSE))))</f>
        <v>1361138.71</v>
      </c>
      <c r="I73" s="13">
        <f t="shared" si="12"/>
        <v>646180.50596694974</v>
      </c>
      <c r="J73" s="13">
        <f t="shared" si="13"/>
        <v>2007319.2159669497</v>
      </c>
      <c r="S73" s="53">
        <v>-2713</v>
      </c>
      <c r="W73" s="53">
        <v>-75.47</v>
      </c>
      <c r="Y73" s="53">
        <v>-160503</v>
      </c>
      <c r="AD73" s="53">
        <v>1316</v>
      </c>
      <c r="AH73" s="53">
        <v>808176</v>
      </c>
      <c r="AO73" s="53">
        <v>-20.02403305032465</v>
      </c>
      <c r="AP73" s="66"/>
      <c r="AR73" s="55"/>
      <c r="CL73" s="49"/>
      <c r="CM73" s="55"/>
      <c r="ED73" s="49"/>
      <c r="EE73" s="55"/>
      <c r="ET73" s="49"/>
      <c r="EU73" s="55"/>
      <c r="JK73" s="327"/>
      <c r="JL73" s="328" t="s">
        <v>231</v>
      </c>
    </row>
    <row r="74" spans="1:272" ht="15" customHeight="1">
      <c r="A74" s="332" t="s">
        <v>1652</v>
      </c>
      <c r="F74" s="62">
        <v>926</v>
      </c>
      <c r="G74" s="63" t="s">
        <v>247</v>
      </c>
      <c r="H74" s="367">
        <f>SUM(((VLOOKUP(A74,'REVEXP-UNADJ-FERC IS'!$B$8:$E$155,4,FALSE))))</f>
        <v>2684056.41</v>
      </c>
      <c r="I74" s="13">
        <f t="shared" si="12"/>
        <v>-43300.84</v>
      </c>
      <c r="J74" s="13">
        <f t="shared" si="13"/>
        <v>2640755.5700000003</v>
      </c>
      <c r="L74" s="53">
        <v>-13814</v>
      </c>
      <c r="W74" s="53">
        <v>-1075.22</v>
      </c>
      <c r="AD74" s="53">
        <v>109018</v>
      </c>
      <c r="AF74" s="53">
        <v>-7236</v>
      </c>
      <c r="AG74" s="53">
        <v>-47074</v>
      </c>
      <c r="AM74" s="53">
        <v>-83119.62</v>
      </c>
      <c r="AP74" s="66"/>
      <c r="AR74" s="55"/>
      <c r="CL74" s="49"/>
      <c r="CM74" s="55"/>
      <c r="ED74" s="49"/>
      <c r="EE74" s="55"/>
      <c r="ET74" s="49"/>
      <c r="EU74" s="55"/>
      <c r="JK74" s="327"/>
      <c r="JL74" s="328" t="s">
        <v>232</v>
      </c>
    </row>
    <row r="75" spans="1:272" ht="15" customHeight="1">
      <c r="A75" s="332" t="s">
        <v>1653</v>
      </c>
      <c r="F75" s="62">
        <v>928</v>
      </c>
      <c r="G75" s="63" t="s">
        <v>633</v>
      </c>
      <c r="H75" s="367">
        <f>SUM(((VLOOKUP(A75,'REVEXP-UNADJ-FERC IS'!$B$8:$E$155,4,FALSE))))</f>
        <v>0</v>
      </c>
      <c r="I75" s="13">
        <f t="shared" si="12"/>
        <v>250000</v>
      </c>
      <c r="J75" s="13">
        <f>H75+I75</f>
        <v>250000</v>
      </c>
      <c r="AK75" s="53">
        <v>250000</v>
      </c>
      <c r="AP75" s="66"/>
      <c r="AR75" s="55"/>
      <c r="CL75" s="49"/>
      <c r="CM75" s="55"/>
      <c r="ED75" s="49"/>
      <c r="EE75" s="55"/>
      <c r="ET75" s="49"/>
      <c r="EU75" s="55"/>
      <c r="JK75" s="327"/>
      <c r="JL75" s="328"/>
    </row>
    <row r="76" spans="1:272" ht="15" customHeight="1">
      <c r="A76" s="332" t="s">
        <v>1654</v>
      </c>
      <c r="B76" s="332"/>
      <c r="F76" s="406">
        <v>930.1</v>
      </c>
      <c r="G76" s="63" t="s">
        <v>703</v>
      </c>
      <c r="H76" s="367">
        <f>SUM(((VLOOKUP(A76,'REVEXP-UNADJ-FERC IS'!$B$8:$E$155,4,FALSE))))</f>
        <v>27936.07</v>
      </c>
      <c r="I76" s="13">
        <f t="shared" si="12"/>
        <v>-14877.911036503041</v>
      </c>
      <c r="J76" s="13">
        <f t="shared" si="13"/>
        <v>13058.158963496959</v>
      </c>
      <c r="L76" s="53">
        <v>-13682.88</v>
      </c>
      <c r="AO76" s="53">
        <v>-1195.0310365030418</v>
      </c>
      <c r="AR76" s="55"/>
      <c r="CL76" s="49"/>
      <c r="CM76" s="55"/>
      <c r="ED76" s="49"/>
      <c r="EE76" s="55"/>
      <c r="ET76" s="49"/>
      <c r="EU76" s="55"/>
      <c r="JK76" s="327"/>
      <c r="JL76" s="328" t="s">
        <v>233</v>
      </c>
    </row>
    <row r="77" spans="1:272" ht="15" customHeight="1">
      <c r="A77" s="332" t="s">
        <v>1655</v>
      </c>
      <c r="B77" s="332"/>
      <c r="F77" s="406">
        <v>930.2</v>
      </c>
      <c r="G77" s="63" t="s">
        <v>95</v>
      </c>
      <c r="H77" s="367">
        <f>SUM(((VLOOKUP(A77,'REVEXP-UNADJ-FERC IS'!$B$8:$E$155,4,FALSE))))</f>
        <v>464452.95</v>
      </c>
      <c r="I77" s="13">
        <f t="shared" si="12"/>
        <v>-177800</v>
      </c>
      <c r="J77" s="13">
        <f>H77+I77</f>
        <v>286652.95</v>
      </c>
      <c r="L77" s="53">
        <v>-13386</v>
      </c>
      <c r="N77" s="53">
        <v>-74498</v>
      </c>
      <c r="S77" s="53">
        <v>-62781</v>
      </c>
      <c r="U77" s="53">
        <v>-128388</v>
      </c>
      <c r="AA77" s="53">
        <v>101100</v>
      </c>
      <c r="AD77" s="53">
        <v>153</v>
      </c>
      <c r="AR77" s="55"/>
      <c r="CL77" s="49"/>
      <c r="CM77" s="55"/>
      <c r="ED77" s="49"/>
      <c r="EE77" s="55"/>
      <c r="ET77" s="49"/>
      <c r="EU77" s="55"/>
      <c r="JK77" s="327"/>
      <c r="JL77" s="328"/>
    </row>
    <row r="78" spans="1:272" ht="15" customHeight="1">
      <c r="A78" s="332" t="s">
        <v>1656</v>
      </c>
      <c r="F78" s="71">
        <v>931</v>
      </c>
      <c r="G78" s="63" t="s">
        <v>75</v>
      </c>
      <c r="H78" s="367">
        <f>SUM(((VLOOKUP(A78,'REVEXP-UNADJ-FERC IS'!$B$8:$E$155,4,FALSE))))</f>
        <v>198635.85000000003</v>
      </c>
      <c r="I78" s="13">
        <f t="shared" si="12"/>
        <v>0</v>
      </c>
      <c r="J78" s="13">
        <f t="shared" si="13"/>
        <v>198635.85000000003</v>
      </c>
      <c r="AR78" s="55"/>
      <c r="CL78" s="49"/>
      <c r="CM78" s="55"/>
      <c r="ED78" s="49"/>
      <c r="EE78" s="55"/>
      <c r="ET78" s="49"/>
      <c r="EU78" s="55"/>
      <c r="JK78" s="327"/>
      <c r="JL78" s="328" t="s">
        <v>234</v>
      </c>
    </row>
    <row r="79" spans="1:272" ht="15" customHeight="1">
      <c r="A79" s="332" t="s">
        <v>1657</v>
      </c>
      <c r="F79" s="71">
        <v>932</v>
      </c>
      <c r="G79" s="63" t="s">
        <v>96</v>
      </c>
      <c r="H79" s="367">
        <f>SUM(((VLOOKUP(A79,'REVEXP-UNADJ-FERC IS'!$B$8:$E$155,4,FALSE))))</f>
        <v>281</v>
      </c>
      <c r="I79" s="13">
        <f t="shared" si="12"/>
        <v>4.909414589185948</v>
      </c>
      <c r="J79" s="13">
        <f t="shared" si="13"/>
        <v>285.90941458918593</v>
      </c>
      <c r="AD79" s="53">
        <v>14</v>
      </c>
      <c r="AO79" s="53">
        <v>-9.090585410814052</v>
      </c>
      <c r="AR79" s="55"/>
      <c r="CL79" s="49"/>
      <c r="CM79" s="55"/>
      <c r="ED79" s="49"/>
      <c r="EE79" s="55"/>
      <c r="ET79" s="49"/>
      <c r="EU79" s="55"/>
      <c r="JK79" s="327"/>
      <c r="JL79" s="328" t="s">
        <v>235</v>
      </c>
    </row>
    <row r="80" spans="1:272" ht="15" customHeight="1">
      <c r="A80" s="332"/>
      <c r="F80" s="71"/>
      <c r="G80" s="63" t="s">
        <v>634</v>
      </c>
      <c r="H80" s="368">
        <v>0</v>
      </c>
      <c r="I80" s="13">
        <f t="shared" si="12"/>
        <v>0</v>
      </c>
      <c r="J80" s="13">
        <f t="shared" si="13"/>
        <v>0</v>
      </c>
      <c r="AR80" s="55"/>
      <c r="CL80" s="49"/>
      <c r="CM80" s="55"/>
      <c r="ED80" s="49"/>
      <c r="EE80" s="55"/>
      <c r="ET80" s="49"/>
      <c r="EU80" s="55"/>
      <c r="JK80" s="327"/>
      <c r="JL80" s="328" t="s">
        <v>236</v>
      </c>
    </row>
    <row r="81" spans="1:272" ht="15" customHeight="1">
      <c r="F81" s="62"/>
      <c r="G81" s="67" t="s">
        <v>237</v>
      </c>
      <c r="H81" s="364">
        <f>SUM(H68:H80)</f>
        <v>12365856.660000002</v>
      </c>
      <c r="I81" s="364">
        <f>SUM(I68:I80)</f>
        <v>-210992.31896803074</v>
      </c>
      <c r="J81" s="364">
        <f>SUM(J68:J80)</f>
        <v>12154864.341031969</v>
      </c>
      <c r="AR81" s="55"/>
      <c r="CL81" s="49"/>
      <c r="CM81" s="55"/>
      <c r="ED81" s="49"/>
      <c r="EE81" s="55"/>
      <c r="ET81" s="49"/>
      <c r="EU81" s="55"/>
      <c r="JK81" s="327"/>
      <c r="JL81" s="328"/>
    </row>
    <row r="82" spans="1:272" ht="15" customHeight="1">
      <c r="F82" s="62"/>
      <c r="G82" s="69"/>
      <c r="H82" s="152"/>
      <c r="I82" s="70"/>
      <c r="J82" s="70"/>
      <c r="AR82" s="55"/>
      <c r="CL82" s="49"/>
      <c r="CM82" s="55"/>
      <c r="ED82" s="49"/>
      <c r="EE82" s="55"/>
      <c r="ET82" s="49"/>
      <c r="EU82" s="55"/>
      <c r="JK82" s="327"/>
      <c r="JL82" s="328"/>
    </row>
    <row r="83" spans="1:272" ht="15" customHeight="1" thickBot="1">
      <c r="F83" s="49"/>
      <c r="G83" s="73" t="s">
        <v>97</v>
      </c>
      <c r="H83" s="24">
        <f>H27+H34+H52+H65+H81</f>
        <v>88959592.209999993</v>
      </c>
      <c r="I83" s="24">
        <f>I27+I34+I52+I65+I81</f>
        <v>-59996771.659924865</v>
      </c>
      <c r="J83" s="24">
        <f>J27+J34+J52+J65+J81</f>
        <v>28962820.550075121</v>
      </c>
      <c r="AR83" s="55"/>
      <c r="CL83" s="49"/>
      <c r="CM83" s="55"/>
      <c r="ED83" s="49"/>
      <c r="EE83" s="55"/>
      <c r="ET83" s="49"/>
      <c r="EU83" s="55"/>
      <c r="JK83" s="327"/>
      <c r="JL83" s="328"/>
    </row>
    <row r="84" spans="1:272" ht="15" customHeight="1" thickTop="1">
      <c r="F84" s="49"/>
      <c r="G84" s="76"/>
      <c r="H84" s="354"/>
      <c r="I84" s="53"/>
      <c r="J84" s="53"/>
      <c r="AR84" s="55"/>
      <c r="CL84" s="49"/>
      <c r="CM84" s="55"/>
      <c r="ED84" s="49"/>
      <c r="EE84" s="55"/>
      <c r="ET84" s="49"/>
      <c r="EU84" s="55"/>
      <c r="JL84" s="328"/>
    </row>
    <row r="85" spans="1:272" ht="15" customHeight="1">
      <c r="F85" s="62"/>
      <c r="G85" s="77" t="s">
        <v>50</v>
      </c>
      <c r="H85" s="356"/>
      <c r="J85" s="49"/>
      <c r="AR85" s="55"/>
      <c r="CL85" s="49"/>
      <c r="CM85" s="55"/>
      <c r="ED85" s="49"/>
      <c r="EE85" s="55"/>
      <c r="ET85" s="49"/>
      <c r="EU85" s="55"/>
      <c r="JK85" s="327"/>
      <c r="JL85" s="328"/>
    </row>
    <row r="86" spans="1:272" ht="15" customHeight="1">
      <c r="F86" s="62"/>
      <c r="G86" s="61" t="s">
        <v>98</v>
      </c>
      <c r="H86" s="356"/>
      <c r="J86" s="49"/>
      <c r="AR86" s="55"/>
      <c r="CL86" s="49"/>
      <c r="CM86" s="55"/>
      <c r="ED86" s="49"/>
      <c r="EE86" s="55"/>
      <c r="ET86" s="49"/>
      <c r="EU86" s="55"/>
      <c r="JK86" s="327"/>
      <c r="JL86" s="328"/>
    </row>
    <row r="87" spans="1:272" ht="15" customHeight="1">
      <c r="A87" s="330" t="s">
        <v>707</v>
      </c>
      <c r="F87" s="62">
        <v>302</v>
      </c>
      <c r="G87" s="63" t="s">
        <v>99</v>
      </c>
      <c r="H87" s="367">
        <f>VLOOKUP(A87,'REVEXP-UNADJ-Depreciation'!$A:F,6,FALSE)</f>
        <v>11573.400000000001</v>
      </c>
      <c r="I87" s="13">
        <f>SUM(K87:AO87)</f>
        <v>2422</v>
      </c>
      <c r="J87" s="13">
        <f>H87+I87</f>
        <v>13995.400000000001</v>
      </c>
      <c r="Q87" s="53">
        <v>2422</v>
      </c>
      <c r="AP87" s="66"/>
      <c r="AR87" s="55"/>
      <c r="CL87" s="49"/>
      <c r="CM87" s="55"/>
      <c r="ED87" s="49"/>
      <c r="EE87" s="55"/>
      <c r="ET87" s="49"/>
      <c r="EU87" s="55"/>
      <c r="JK87" s="327"/>
      <c r="JL87" s="328"/>
    </row>
    <row r="88" spans="1:272" ht="15" customHeight="1">
      <c r="A88" s="330" t="s">
        <v>708</v>
      </c>
      <c r="B88" s="330" t="s">
        <v>1696</v>
      </c>
      <c r="F88" s="62">
        <v>303</v>
      </c>
      <c r="G88" s="63" t="s">
        <v>100</v>
      </c>
      <c r="H88" s="367">
        <f>VLOOKUP(A88,'REVEXP-UNADJ-Depreciation'!$A:F,6,FALSE)+VLOOKUP(B88,'REVEXP-UNADJ-Depreciation'!$A:F,6,FALSE)</f>
        <v>51665.91</v>
      </c>
      <c r="I88" s="13">
        <f>SUM(K88:AO88)</f>
        <v>243639.74337799998</v>
      </c>
      <c r="J88" s="13">
        <f>H88+I88</f>
        <v>295305.65337800002</v>
      </c>
      <c r="Q88" s="53">
        <v>272204</v>
      </c>
      <c r="R88" s="53">
        <v>-28564.256622000001</v>
      </c>
      <c r="AP88" s="66"/>
      <c r="AR88" s="55"/>
      <c r="CL88" s="49"/>
      <c r="CM88" s="55"/>
      <c r="ED88" s="49"/>
      <c r="EE88" s="55"/>
      <c r="ET88" s="49"/>
      <c r="EU88" s="55"/>
      <c r="JK88" s="327"/>
      <c r="JL88" s="328"/>
    </row>
    <row r="89" spans="1:272" ht="15" customHeight="1">
      <c r="A89" s="330" t="s">
        <v>654</v>
      </c>
      <c r="F89" s="62"/>
      <c r="G89" s="63" t="s">
        <v>795</v>
      </c>
      <c r="H89" s="367">
        <f>VLOOKUP(A89,'REVEXP-UNADJ-Depreciation'!$A:F,6,FALSE)</f>
        <v>3063435.45</v>
      </c>
      <c r="I89" s="13">
        <f>SUM(K89:AO89)</f>
        <v>0</v>
      </c>
      <c r="J89" s="13">
        <f>H89+I89</f>
        <v>3063435.45</v>
      </c>
      <c r="AP89" s="66"/>
      <c r="AR89" s="55"/>
      <c r="CL89" s="49"/>
      <c r="CM89" s="55"/>
      <c r="ED89" s="49"/>
      <c r="EE89" s="55"/>
      <c r="ET89" s="49"/>
      <c r="EU89" s="55"/>
      <c r="JK89" s="327"/>
      <c r="JL89" s="328"/>
    </row>
    <row r="90" spans="1:272" ht="15" customHeight="1" thickBot="1">
      <c r="F90" s="62"/>
      <c r="G90" s="73" t="s">
        <v>101</v>
      </c>
      <c r="H90" s="24">
        <f>SUM(H87:H89)</f>
        <v>3126674.7600000002</v>
      </c>
      <c r="I90" s="24">
        <f>SUM(I87:I89)</f>
        <v>246061.74337799998</v>
      </c>
      <c r="J90" s="24">
        <f>SUM(J87:J89)</f>
        <v>3372736.5033780001</v>
      </c>
      <c r="AP90" s="66"/>
      <c r="AR90" s="55"/>
      <c r="CL90" s="49"/>
      <c r="CM90" s="55"/>
      <c r="ED90" s="49"/>
      <c r="EE90" s="55"/>
      <c r="ET90" s="49"/>
      <c r="EU90" s="55"/>
      <c r="JK90" s="327"/>
      <c r="JL90" s="328"/>
    </row>
    <row r="91" spans="1:272" ht="15" customHeight="1" thickTop="1">
      <c r="F91" s="62"/>
      <c r="G91" s="61"/>
      <c r="H91" s="354"/>
      <c r="I91" s="52"/>
      <c r="J91" s="52"/>
      <c r="AP91" s="66"/>
      <c r="AR91" s="55"/>
      <c r="CL91" s="49"/>
      <c r="CM91" s="55"/>
      <c r="ED91" s="49"/>
      <c r="EE91" s="55"/>
      <c r="ET91" s="49"/>
      <c r="EU91" s="55"/>
      <c r="JK91" s="327"/>
      <c r="JL91" s="328"/>
    </row>
    <row r="92" spans="1:272" ht="15" customHeight="1">
      <c r="F92" s="62"/>
      <c r="G92" s="61" t="s">
        <v>102</v>
      </c>
      <c r="H92" s="356"/>
      <c r="J92" s="49"/>
      <c r="AP92" s="66"/>
      <c r="AR92" s="55"/>
      <c r="CL92" s="49"/>
      <c r="CM92" s="55"/>
      <c r="ED92" s="49"/>
      <c r="EE92" s="55"/>
      <c r="ET92" s="49"/>
      <c r="EU92" s="55"/>
      <c r="JK92" s="327"/>
      <c r="JL92" s="328"/>
    </row>
    <row r="93" spans="1:272" ht="15" customHeight="1">
      <c r="A93" s="333" t="s">
        <v>709</v>
      </c>
      <c r="F93" s="62">
        <v>365</v>
      </c>
      <c r="G93" s="63" t="s">
        <v>103</v>
      </c>
      <c r="H93" s="367">
        <f>VLOOKUP(A93,'REVEXP-UNADJ-Depreciation'!$A:F,6,FALSE)</f>
        <v>948.71999999999991</v>
      </c>
      <c r="I93" s="13">
        <f>SUM(K93:AO93)</f>
        <v>20</v>
      </c>
      <c r="J93" s="13">
        <f>H93+I93</f>
        <v>968.71999999999991</v>
      </c>
      <c r="Q93" s="53">
        <v>20</v>
      </c>
      <c r="AP93" s="66"/>
      <c r="AR93" s="55"/>
      <c r="CL93" s="49"/>
      <c r="CM93" s="55"/>
      <c r="ED93" s="49"/>
      <c r="EE93" s="55"/>
      <c r="ET93" s="49"/>
      <c r="EU93" s="55"/>
      <c r="JK93" s="327"/>
      <c r="JL93" s="328"/>
    </row>
    <row r="94" spans="1:272" ht="15.75" customHeight="1">
      <c r="A94" s="333" t="s">
        <v>710</v>
      </c>
      <c r="F94" s="65">
        <v>366</v>
      </c>
      <c r="G94" s="63" t="s">
        <v>104</v>
      </c>
      <c r="H94" s="367">
        <f>VLOOKUP(A94,'REVEXP-UNADJ-Depreciation'!$A:F,6,FALSE)</f>
        <v>249.11999999999998</v>
      </c>
      <c r="I94" s="13">
        <f>SUM(K94:AO94)</f>
        <v>12</v>
      </c>
      <c r="J94" s="13">
        <f>H94+I94</f>
        <v>261.12</v>
      </c>
      <c r="Q94" s="53">
        <v>12</v>
      </c>
      <c r="AP94" s="66"/>
      <c r="AR94" s="55"/>
      <c r="CL94" s="49"/>
      <c r="CM94" s="55"/>
      <c r="ED94" s="49"/>
      <c r="EE94" s="55"/>
      <c r="ET94" s="49"/>
      <c r="EU94" s="55"/>
      <c r="JK94" s="327"/>
      <c r="JL94" s="328"/>
    </row>
    <row r="95" spans="1:272" ht="15" customHeight="1">
      <c r="A95" s="333" t="s">
        <v>711</v>
      </c>
      <c r="F95" s="62">
        <v>367</v>
      </c>
      <c r="G95" s="63" t="s">
        <v>105</v>
      </c>
      <c r="H95" s="367">
        <f>VLOOKUP(A95,'REVEXP-UNADJ-Depreciation'!$A:F,6,FALSE)</f>
        <v>289418.52</v>
      </c>
      <c r="I95" s="13">
        <f>SUM(K95:AO95)</f>
        <v>-68524</v>
      </c>
      <c r="J95" s="13">
        <f>H95+I95</f>
        <v>220894.52000000002</v>
      </c>
      <c r="Q95" s="53">
        <v>-68524</v>
      </c>
    </row>
    <row r="96" spans="1:272" ht="15" customHeight="1">
      <c r="A96" s="333" t="s">
        <v>712</v>
      </c>
      <c r="F96" s="71">
        <v>369</v>
      </c>
      <c r="G96" s="63" t="s">
        <v>1544</v>
      </c>
      <c r="H96" s="367">
        <f>VLOOKUP(A96,'REVEXP-UNADJ-Depreciation'!$A:F,6,FALSE)</f>
        <v>39744.120000000003</v>
      </c>
      <c r="I96" s="13">
        <f>SUM(K96:AO96)</f>
        <v>-29407</v>
      </c>
      <c r="J96" s="13">
        <f>H96+I96</f>
        <v>10337.120000000003</v>
      </c>
      <c r="Q96" s="53">
        <v>-29407</v>
      </c>
    </row>
    <row r="97" spans="1:18" ht="15" customHeight="1">
      <c r="A97" s="333" t="s">
        <v>713</v>
      </c>
      <c r="F97" s="71">
        <v>371</v>
      </c>
      <c r="G97" s="63" t="s">
        <v>107</v>
      </c>
      <c r="H97" s="367">
        <f>VLOOKUP(A97,'REVEXP-UNADJ-Depreciation'!$A:F,6,FALSE)</f>
        <v>3113.16</v>
      </c>
      <c r="I97" s="13">
        <f>SUM(K97:AO97)</f>
        <v>-3113</v>
      </c>
      <c r="J97" s="13">
        <f>H97+I97</f>
        <v>0.15999999999985448</v>
      </c>
      <c r="Q97" s="53">
        <v>-3113</v>
      </c>
    </row>
    <row r="98" spans="1:18" ht="15" customHeight="1" thickBot="1">
      <c r="F98" s="71"/>
      <c r="G98" s="73" t="s">
        <v>108</v>
      </c>
      <c r="H98" s="24">
        <f>SUM(H93:H97)</f>
        <v>333473.64</v>
      </c>
      <c r="I98" s="24">
        <f>SUM(I93:I97)</f>
        <v>-101012</v>
      </c>
      <c r="J98" s="24">
        <f>SUM(J93:J97)</f>
        <v>232461.64</v>
      </c>
    </row>
    <row r="99" spans="1:18" ht="15" customHeight="1" thickTop="1">
      <c r="F99" s="71"/>
      <c r="G99" s="61"/>
      <c r="H99" s="354"/>
      <c r="I99" s="52"/>
      <c r="J99" s="52"/>
    </row>
    <row r="100" spans="1:18" ht="15" customHeight="1">
      <c r="F100" s="62"/>
      <c r="G100" s="61" t="s">
        <v>109</v>
      </c>
      <c r="H100" s="354"/>
      <c r="J100" s="52"/>
    </row>
    <row r="101" spans="1:18" ht="15" customHeight="1">
      <c r="A101" s="333" t="s">
        <v>1742</v>
      </c>
      <c r="F101" s="71">
        <v>374</v>
      </c>
      <c r="G101" s="63" t="s">
        <v>103</v>
      </c>
      <c r="H101" s="367">
        <f>VLOOKUP(A101,'REVEXP-UNADJ-Depreciation'!$A:F,6,FALSE)</f>
        <v>2845.02</v>
      </c>
      <c r="I101" s="13">
        <f t="shared" ref="I101:I112" si="14">SUM(K101:AO101)</f>
        <v>3535.1144680000002</v>
      </c>
      <c r="J101" s="13">
        <f t="shared" ref="J101:J112" si="15">H101+I101</f>
        <v>6380.1344680000002</v>
      </c>
      <c r="Q101" s="53">
        <v>3613</v>
      </c>
      <c r="R101" s="53">
        <v>-77.885531999999998</v>
      </c>
    </row>
    <row r="102" spans="1:18" ht="15" customHeight="1">
      <c r="A102" s="333" t="s">
        <v>714</v>
      </c>
      <c r="F102" s="65">
        <v>375</v>
      </c>
      <c r="G102" s="63" t="s">
        <v>104</v>
      </c>
      <c r="H102" s="367">
        <f>VLOOKUP(A102,'REVEXP-UNADJ-Depreciation'!$A:F,6,FALSE)</f>
        <v>2970.3799999999997</v>
      </c>
      <c r="I102" s="13">
        <f t="shared" si="14"/>
        <v>1343</v>
      </c>
      <c r="J102" s="13">
        <f t="shared" si="15"/>
        <v>4313.3799999999992</v>
      </c>
      <c r="Q102" s="53">
        <v>1343</v>
      </c>
    </row>
    <row r="103" spans="1:18" ht="15" customHeight="1">
      <c r="A103" s="333" t="s">
        <v>715</v>
      </c>
      <c r="F103" s="62">
        <v>376</v>
      </c>
      <c r="G103" s="63" t="s">
        <v>110</v>
      </c>
      <c r="H103" s="367">
        <f>VLOOKUP(A103,'REVEXP-UNADJ-Depreciation'!$A:F,6,FALSE)</f>
        <v>4623567.46</v>
      </c>
      <c r="I103" s="13">
        <f t="shared" si="14"/>
        <v>467913.68772400002</v>
      </c>
      <c r="J103" s="13">
        <f t="shared" si="15"/>
        <v>5091481.1477239998</v>
      </c>
      <c r="Q103" s="53">
        <v>521179</v>
      </c>
      <c r="R103" s="53">
        <v>-53265.312275999997</v>
      </c>
    </row>
    <row r="104" spans="1:18" ht="15" customHeight="1">
      <c r="A104" s="333" t="s">
        <v>716</v>
      </c>
      <c r="F104" s="62">
        <v>378</v>
      </c>
      <c r="G104" s="63" t="s">
        <v>111</v>
      </c>
      <c r="H104" s="367">
        <f>VLOOKUP(A104,'REVEXP-UNADJ-Depreciation'!$A:F,6,FALSE)</f>
        <v>149856.06</v>
      </c>
      <c r="I104" s="13">
        <f t="shared" si="14"/>
        <v>-21464.028999999999</v>
      </c>
      <c r="J104" s="13">
        <f t="shared" si="15"/>
        <v>128392.031</v>
      </c>
      <c r="Q104" s="53">
        <v>-20110</v>
      </c>
      <c r="R104" s="53">
        <v>-1354.029</v>
      </c>
    </row>
    <row r="105" spans="1:18" ht="15" customHeight="1">
      <c r="A105" s="333" t="s">
        <v>717</v>
      </c>
      <c r="F105" s="62">
        <v>379</v>
      </c>
      <c r="G105" s="63" t="s">
        <v>112</v>
      </c>
      <c r="H105" s="367">
        <f>VLOOKUP(A105,'REVEXP-UNADJ-Depreciation'!$A:F,6,FALSE)</f>
        <v>129248.39000000001</v>
      </c>
      <c r="I105" s="13">
        <f t="shared" si="14"/>
        <v>-35205.452299999997</v>
      </c>
      <c r="J105" s="13">
        <f t="shared" si="15"/>
        <v>94042.937700000009</v>
      </c>
      <c r="Q105" s="53">
        <v>-35081</v>
      </c>
      <c r="R105" s="53">
        <v>-124.45229999999999</v>
      </c>
    </row>
    <row r="106" spans="1:18" ht="15" customHeight="1">
      <c r="A106" s="333" t="s">
        <v>718</v>
      </c>
      <c r="F106" s="62">
        <v>380</v>
      </c>
      <c r="G106" s="63" t="s">
        <v>113</v>
      </c>
      <c r="H106" s="367">
        <f>VLOOKUP(A106,'REVEXP-UNADJ-Depreciation'!$A:F,6,FALSE)</f>
        <v>4661964.7300000004</v>
      </c>
      <c r="I106" s="13">
        <f t="shared" si="14"/>
        <v>-543820.63736000005</v>
      </c>
      <c r="J106" s="13">
        <f t="shared" si="15"/>
        <v>4118144.0926400004</v>
      </c>
      <c r="Q106" s="53">
        <v>-525563</v>
      </c>
      <c r="R106" s="53">
        <v>-18257.637360000001</v>
      </c>
    </row>
    <row r="107" spans="1:18" ht="15" customHeight="1">
      <c r="A107" s="333" t="s">
        <v>719</v>
      </c>
      <c r="F107" s="62">
        <v>381</v>
      </c>
      <c r="G107" s="63" t="s">
        <v>114</v>
      </c>
      <c r="H107" s="367">
        <f>VLOOKUP(A107,'REVEXP-UNADJ-Depreciation'!$A:F,6,FALSE)</f>
        <v>904873.91</v>
      </c>
      <c r="I107" s="13">
        <f t="shared" si="14"/>
        <v>580425.44565000001</v>
      </c>
      <c r="J107" s="13">
        <f t="shared" si="15"/>
        <v>1485299.35565</v>
      </c>
      <c r="Q107" s="53">
        <v>615939</v>
      </c>
      <c r="R107" s="53">
        <v>-35513.554349999999</v>
      </c>
    </row>
    <row r="108" spans="1:18" ht="15" customHeight="1">
      <c r="A108" s="333" t="s">
        <v>720</v>
      </c>
      <c r="F108" s="62">
        <v>382</v>
      </c>
      <c r="G108" s="63" t="s">
        <v>115</v>
      </c>
      <c r="H108" s="367">
        <f>VLOOKUP(A108,'REVEXP-UNADJ-Depreciation'!$A:F,6,FALSE)</f>
        <v>309713.22000000003</v>
      </c>
      <c r="I108" s="13">
        <f t="shared" si="14"/>
        <v>238445.06495999999</v>
      </c>
      <c r="J108" s="13">
        <f t="shared" si="15"/>
        <v>548158.28496000008</v>
      </c>
      <c r="Q108" s="53">
        <v>247341</v>
      </c>
      <c r="R108" s="53">
        <v>-8895.9350400000003</v>
      </c>
    </row>
    <row r="109" spans="1:18" ht="15" customHeight="1">
      <c r="A109" s="333" t="s">
        <v>721</v>
      </c>
      <c r="F109" s="62">
        <v>383</v>
      </c>
      <c r="G109" s="63" t="s">
        <v>116</v>
      </c>
      <c r="H109" s="367">
        <f>VLOOKUP(A109,'REVEXP-UNADJ-Depreciation'!$A:F,6,FALSE)</f>
        <v>116119.24</v>
      </c>
      <c r="I109" s="13">
        <f t="shared" si="14"/>
        <v>1120</v>
      </c>
      <c r="J109" s="13">
        <f t="shared" si="15"/>
        <v>117239.24</v>
      </c>
      <c r="Q109" s="53">
        <v>1120</v>
      </c>
    </row>
    <row r="110" spans="1:18" ht="15" customHeight="1">
      <c r="A110" s="333" t="s">
        <v>722</v>
      </c>
      <c r="F110" s="62">
        <v>384</v>
      </c>
      <c r="G110" s="63" t="s">
        <v>117</v>
      </c>
      <c r="H110" s="367">
        <f>VLOOKUP(A110,'REVEXP-UNADJ-Depreciation'!$A:F,6,FALSE)</f>
        <v>111815.93000000001</v>
      </c>
      <c r="I110" s="13">
        <f t="shared" si="14"/>
        <v>2188</v>
      </c>
      <c r="J110" s="13">
        <f t="shared" si="15"/>
        <v>114003.93000000001</v>
      </c>
      <c r="Q110" s="53">
        <v>2188</v>
      </c>
    </row>
    <row r="111" spans="1:18" ht="15" customHeight="1">
      <c r="A111" s="333" t="s">
        <v>723</v>
      </c>
      <c r="F111" s="62">
        <v>385</v>
      </c>
      <c r="G111" s="63" t="s">
        <v>118</v>
      </c>
      <c r="H111" s="367">
        <f>VLOOKUP(A111,'REVEXP-UNADJ-Depreciation'!$A:F,6,FALSE)</f>
        <v>78870.880000000005</v>
      </c>
      <c r="I111" s="13">
        <f t="shared" si="14"/>
        <v>-21981.419834</v>
      </c>
      <c r="J111" s="13">
        <f t="shared" si="15"/>
        <v>56889.460166000004</v>
      </c>
      <c r="Q111" s="53">
        <v>-17015</v>
      </c>
      <c r="R111" s="53">
        <v>-4966.4198340000003</v>
      </c>
    </row>
    <row r="112" spans="1:18" ht="15" customHeight="1">
      <c r="A112" s="333" t="s">
        <v>724</v>
      </c>
      <c r="F112" s="62">
        <v>387</v>
      </c>
      <c r="G112" s="63" t="s">
        <v>107</v>
      </c>
      <c r="H112" s="367">
        <f>VLOOKUP(A112,'REVEXP-UNADJ-Depreciation'!$A:F,6,FALSE)</f>
        <v>61189.97</v>
      </c>
      <c r="I112" s="13">
        <f t="shared" si="14"/>
        <v>-21677</v>
      </c>
      <c r="J112" s="13">
        <f t="shared" si="15"/>
        <v>39512.97</v>
      </c>
      <c r="Q112" s="53">
        <v>-21677</v>
      </c>
    </row>
    <row r="113" spans="1:272" ht="15" customHeight="1" thickBot="1">
      <c r="F113" s="62"/>
      <c r="G113" s="73" t="s">
        <v>119</v>
      </c>
      <c r="H113" s="24">
        <f>SUM(H101:H112)</f>
        <v>11153035.190000001</v>
      </c>
      <c r="I113" s="24">
        <f>SUM(I101:I112)</f>
        <v>650821.77430799999</v>
      </c>
      <c r="J113" s="24">
        <f>SUM(J101:J112)</f>
        <v>11803856.964308001</v>
      </c>
    </row>
    <row r="114" spans="1:272" ht="15" customHeight="1" thickTop="1">
      <c r="F114" s="62"/>
      <c r="G114" s="61"/>
      <c r="H114" s="354"/>
      <c r="I114" s="52"/>
      <c r="J114" s="52"/>
    </row>
    <row r="115" spans="1:272" ht="15" customHeight="1">
      <c r="F115" s="62"/>
      <c r="G115" s="61" t="s">
        <v>120</v>
      </c>
      <c r="H115" s="354"/>
      <c r="J115" s="52"/>
      <c r="Q115" s="350"/>
      <c r="R115" s="350"/>
      <c r="S115" s="350"/>
      <c r="T115" s="350"/>
      <c r="U115" s="350"/>
    </row>
    <row r="116" spans="1:272" ht="15" customHeight="1">
      <c r="A116" s="333" t="s">
        <v>725</v>
      </c>
      <c r="F116" s="62">
        <v>389</v>
      </c>
      <c r="G116" s="63" t="s">
        <v>121</v>
      </c>
      <c r="H116" s="367">
        <f>VLOOKUP(A116,'REVEXP-UNADJ-Depreciation'!$A:F,6,FALSE)</f>
        <v>15303.96</v>
      </c>
      <c r="I116" s="13">
        <f t="shared" ref="I116:I125" si="16">SUM(K116:AO116)</f>
        <v>-15304</v>
      </c>
      <c r="J116" s="13">
        <f t="shared" ref="J116:J125" si="17">H116+I116</f>
        <v>-4.0000000000873115E-2</v>
      </c>
      <c r="Q116" s="53">
        <v>-15304</v>
      </c>
    </row>
    <row r="117" spans="1:272" ht="15" customHeight="1">
      <c r="A117" s="333" t="s">
        <v>726</v>
      </c>
      <c r="F117" s="65">
        <v>390</v>
      </c>
      <c r="G117" s="63" t="s">
        <v>104</v>
      </c>
      <c r="H117" s="367">
        <f>VLOOKUP(A117,'REVEXP-UNADJ-Depreciation'!$A:F,6,FALSE)</f>
        <v>686762.14</v>
      </c>
      <c r="I117" s="13">
        <f t="shared" si="16"/>
        <v>1284.1649190000001</v>
      </c>
      <c r="J117" s="13">
        <f t="shared" si="17"/>
        <v>688046.30491900002</v>
      </c>
      <c r="Q117" s="53">
        <v>1793</v>
      </c>
      <c r="R117" s="53">
        <v>-508.835081</v>
      </c>
    </row>
    <row r="118" spans="1:272" ht="15" customHeight="1">
      <c r="A118" s="333" t="s">
        <v>727</v>
      </c>
      <c r="F118" s="62">
        <v>391</v>
      </c>
      <c r="G118" s="63" t="s">
        <v>122</v>
      </c>
      <c r="H118" s="367">
        <f>VLOOKUP(A118,'REVEXP-UNADJ-Depreciation'!$A:F,6,FALSE)</f>
        <v>673821.25000000012</v>
      </c>
      <c r="I118" s="13">
        <f t="shared" si="16"/>
        <v>38320.063970000003</v>
      </c>
      <c r="J118" s="13">
        <f t="shared" si="17"/>
        <v>712141.31397000013</v>
      </c>
      <c r="Q118" s="53">
        <v>151422</v>
      </c>
      <c r="R118" s="53">
        <v>-113101.93603</v>
      </c>
    </row>
    <row r="119" spans="1:272" ht="15" customHeight="1">
      <c r="A119" s="333" t="s">
        <v>727</v>
      </c>
      <c r="F119" s="62">
        <v>392</v>
      </c>
      <c r="G119" s="283" t="s">
        <v>123</v>
      </c>
      <c r="H119" s="1117">
        <v>0</v>
      </c>
      <c r="I119" s="13">
        <f t="shared" si="16"/>
        <v>-42245.220203999997</v>
      </c>
      <c r="J119" s="13">
        <f t="shared" ref="J119" si="18">H119+I119</f>
        <v>-42245.220203999997</v>
      </c>
      <c r="R119" s="53">
        <v>-42245.220203999997</v>
      </c>
    </row>
    <row r="120" spans="1:272" ht="15" customHeight="1">
      <c r="A120" s="333" t="s">
        <v>729</v>
      </c>
      <c r="F120" s="62">
        <v>393</v>
      </c>
      <c r="G120" s="63" t="s">
        <v>124</v>
      </c>
      <c r="H120" s="367">
        <f>VLOOKUP(A120,'REVEXP-UNADJ-Depreciation'!$A:F,6,FALSE)</f>
        <v>9143.8799999999992</v>
      </c>
      <c r="I120" s="13">
        <f t="shared" si="16"/>
        <v>384</v>
      </c>
      <c r="J120" s="13">
        <f t="shared" si="17"/>
        <v>9527.8799999999992</v>
      </c>
      <c r="Q120" s="53">
        <v>384</v>
      </c>
    </row>
    <row r="121" spans="1:272" ht="15" customHeight="1">
      <c r="A121" s="333" t="s">
        <v>730</v>
      </c>
      <c r="F121" s="62">
        <v>394</v>
      </c>
      <c r="G121" s="63" t="s">
        <v>125</v>
      </c>
      <c r="H121" s="367">
        <f>VLOOKUP(A121,'REVEXP-UNADJ-Depreciation'!$A:F,6,FALSE)</f>
        <v>250463.78000000003</v>
      </c>
      <c r="I121" s="13">
        <f t="shared" si="16"/>
        <v>34212.3868</v>
      </c>
      <c r="J121" s="13">
        <f t="shared" si="17"/>
        <v>284676.16680000001</v>
      </c>
      <c r="Q121" s="53">
        <v>36551</v>
      </c>
      <c r="R121" s="53">
        <v>-2338.6131999999998</v>
      </c>
    </row>
    <row r="122" spans="1:272" ht="15" customHeight="1">
      <c r="A122" s="333" t="s">
        <v>731</v>
      </c>
      <c r="F122" s="62">
        <v>395</v>
      </c>
      <c r="G122" s="63" t="s">
        <v>126</v>
      </c>
      <c r="H122" s="367">
        <f>VLOOKUP(A122,'REVEXP-UNADJ-Depreciation'!$A:F,6,FALSE)</f>
        <v>8437.61</v>
      </c>
      <c r="I122" s="13">
        <f t="shared" si="16"/>
        <v>-4756.305128</v>
      </c>
      <c r="J122" s="13">
        <f t="shared" si="17"/>
        <v>3681.3048720000006</v>
      </c>
      <c r="Q122" s="53">
        <v>1614</v>
      </c>
      <c r="R122" s="53">
        <v>-6370.305128</v>
      </c>
    </row>
    <row r="123" spans="1:272" ht="15" customHeight="1">
      <c r="A123" s="333" t="s">
        <v>732</v>
      </c>
      <c r="F123" s="62">
        <v>396</v>
      </c>
      <c r="G123" s="63" t="s">
        <v>127</v>
      </c>
      <c r="H123" s="367">
        <f>VLOOKUP(A123,'REVEXP-UNADJ-Depreciation'!$A:F,6,FALSE)</f>
        <v>113673.16000000002</v>
      </c>
      <c r="I123" s="13">
        <f t="shared" si="16"/>
        <v>-19506.038510999999</v>
      </c>
      <c r="J123" s="13">
        <f t="shared" si="17"/>
        <v>94167.121489000012</v>
      </c>
      <c r="Q123" s="53">
        <v>-12342</v>
      </c>
      <c r="R123" s="53">
        <v>-7164.0385109999997</v>
      </c>
    </row>
    <row r="124" spans="1:272" ht="15" customHeight="1">
      <c r="A124" s="333" t="s">
        <v>733</v>
      </c>
      <c r="F124" s="62">
        <v>397</v>
      </c>
      <c r="G124" s="63" t="s">
        <v>128</v>
      </c>
      <c r="H124" s="367">
        <f>VLOOKUP(A124,'REVEXP-UNADJ-Depreciation'!$A:F,6,FALSE)</f>
        <v>278962.47000000003</v>
      </c>
      <c r="I124" s="13">
        <f t="shared" si="16"/>
        <v>375.20963699999993</v>
      </c>
      <c r="J124" s="13">
        <f t="shared" si="17"/>
        <v>279337.67963700002</v>
      </c>
      <c r="Q124" s="53">
        <v>8508</v>
      </c>
      <c r="R124" s="53">
        <v>-8132.7903630000001</v>
      </c>
    </row>
    <row r="125" spans="1:272" ht="15" customHeight="1">
      <c r="A125" s="333" t="s">
        <v>734</v>
      </c>
      <c r="F125" s="62">
        <v>398</v>
      </c>
      <c r="G125" s="63" t="s">
        <v>129</v>
      </c>
      <c r="H125" s="367">
        <f>VLOOKUP(A125,'REVEXP-UNADJ-Depreciation'!$A:F,6,FALSE)</f>
        <v>14785.259999999998</v>
      </c>
      <c r="I125" s="13">
        <f t="shared" si="16"/>
        <v>-8110.5167999999994</v>
      </c>
      <c r="J125" s="13">
        <f t="shared" si="17"/>
        <v>6674.743199999999</v>
      </c>
      <c r="Q125" s="53">
        <v>1811</v>
      </c>
      <c r="R125" s="53">
        <v>-9921.5167999999994</v>
      </c>
    </row>
    <row r="126" spans="1:272" ht="15" customHeight="1" thickBot="1">
      <c r="F126" s="62"/>
      <c r="G126" s="73" t="s">
        <v>130</v>
      </c>
      <c r="H126" s="24">
        <f>SUM(H116:H125)</f>
        <v>2051353.51</v>
      </c>
      <c r="I126" s="24">
        <f>SUM(I116:I125)</f>
        <v>-15346.25531699999</v>
      </c>
      <c r="J126" s="24">
        <f>SUM(J116:J125)</f>
        <v>2036007.254683</v>
      </c>
    </row>
    <row r="127" spans="1:272" ht="15" customHeight="1" thickTop="1">
      <c r="F127" s="62"/>
      <c r="G127" s="61"/>
      <c r="H127" s="354"/>
      <c r="I127" s="52"/>
      <c r="J127" s="52"/>
    </row>
    <row r="128" spans="1:272" ht="15" customHeight="1">
      <c r="F128" s="65"/>
      <c r="G128" s="61" t="s">
        <v>131</v>
      </c>
      <c r="H128" s="358"/>
      <c r="J128" s="49"/>
      <c r="AR128" s="55"/>
      <c r="CL128" s="49"/>
      <c r="CM128" s="55"/>
      <c r="ED128" s="49"/>
      <c r="EE128" s="55"/>
      <c r="ET128" s="49"/>
      <c r="EU128" s="55"/>
      <c r="JK128" s="327"/>
      <c r="JL128" s="328"/>
    </row>
    <row r="129" spans="1:272" ht="15" customHeight="1">
      <c r="F129" s="71" t="s">
        <v>132</v>
      </c>
      <c r="G129" s="63" t="s">
        <v>133</v>
      </c>
      <c r="H129" s="13">
        <f>H90</f>
        <v>3126674.7600000002</v>
      </c>
      <c r="I129" s="13">
        <f>I90</f>
        <v>246061.74337799998</v>
      </c>
      <c r="J129" s="13">
        <f>H129+I129</f>
        <v>3372736.5033780001</v>
      </c>
      <c r="AR129" s="55"/>
      <c r="CL129" s="49"/>
      <c r="CM129" s="55"/>
      <c r="ED129" s="49"/>
      <c r="EE129" s="55"/>
      <c r="ET129" s="49"/>
      <c r="EU129" s="55"/>
      <c r="JK129" s="327"/>
      <c r="JL129" s="328"/>
    </row>
    <row r="130" spans="1:272" ht="15" customHeight="1">
      <c r="F130" s="71" t="s">
        <v>134</v>
      </c>
      <c r="G130" s="63" t="s">
        <v>135</v>
      </c>
      <c r="H130" s="13">
        <f>H98</f>
        <v>333473.64</v>
      </c>
      <c r="I130" s="13">
        <f>I98</f>
        <v>-101012</v>
      </c>
      <c r="J130" s="13">
        <f>H130+I130</f>
        <v>232461.64</v>
      </c>
      <c r="AR130" s="55"/>
      <c r="CL130" s="49"/>
      <c r="CM130" s="55"/>
      <c r="ED130" s="49"/>
      <c r="EE130" s="55"/>
      <c r="ET130" s="49"/>
      <c r="EU130" s="55"/>
      <c r="JK130" s="327"/>
      <c r="JL130" s="328"/>
    </row>
    <row r="131" spans="1:272" ht="15" customHeight="1">
      <c r="F131" s="71" t="s">
        <v>134</v>
      </c>
      <c r="G131" s="63" t="s">
        <v>136</v>
      </c>
      <c r="H131" s="13">
        <f>H113</f>
        <v>11153035.190000001</v>
      </c>
      <c r="I131" s="13">
        <f>I113</f>
        <v>650821.77430799999</v>
      </c>
      <c r="J131" s="13">
        <f>H131+I131</f>
        <v>11803856.964308001</v>
      </c>
      <c r="AR131" s="55"/>
      <c r="CL131" s="49"/>
      <c r="CM131" s="55"/>
      <c r="ED131" s="49"/>
      <c r="EE131" s="55"/>
      <c r="ET131" s="49"/>
      <c r="EU131" s="55"/>
      <c r="JK131" s="327"/>
      <c r="JL131" s="328"/>
    </row>
    <row r="132" spans="1:272" ht="15" customHeight="1">
      <c r="F132" s="71" t="s">
        <v>134</v>
      </c>
      <c r="G132" s="63" t="s">
        <v>137</v>
      </c>
      <c r="H132" s="13">
        <f>H126</f>
        <v>2051353.51</v>
      </c>
      <c r="I132" s="13">
        <f>I126</f>
        <v>-15346.25531699999</v>
      </c>
      <c r="J132" s="13">
        <f>H132+I132</f>
        <v>2036007.254683</v>
      </c>
      <c r="AR132" s="55"/>
      <c r="CL132" s="49"/>
      <c r="CM132" s="55"/>
      <c r="ED132" s="49"/>
      <c r="EE132" s="55"/>
      <c r="ET132" s="49"/>
      <c r="EU132" s="55"/>
      <c r="JK132" s="327"/>
      <c r="JL132" s="328"/>
    </row>
    <row r="133" spans="1:272" ht="15" customHeight="1" thickBot="1">
      <c r="F133" s="65"/>
      <c r="G133" s="73" t="s">
        <v>138</v>
      </c>
      <c r="H133" s="24">
        <f>SUM(H129:H132)</f>
        <v>16664537.100000001</v>
      </c>
      <c r="I133" s="24">
        <f>SUM(I129:I132)</f>
        <v>780525.262369</v>
      </c>
      <c r="J133" s="24">
        <f>SUM(J129:J132)</f>
        <v>17445062.362369001</v>
      </c>
      <c r="AP133" s="66"/>
      <c r="AR133" s="55"/>
      <c r="CL133" s="49"/>
      <c r="CM133" s="55"/>
      <c r="ED133" s="49"/>
      <c r="EE133" s="55"/>
      <c r="ET133" s="49"/>
      <c r="EU133" s="55"/>
      <c r="JL133" s="328" t="s">
        <v>238</v>
      </c>
    </row>
    <row r="134" spans="1:272" ht="15" customHeight="1" thickTop="1">
      <c r="F134" s="65"/>
      <c r="G134" s="61"/>
      <c r="H134" s="359"/>
      <c r="I134" s="78"/>
      <c r="J134" s="352"/>
      <c r="AP134" s="66"/>
      <c r="AR134" s="55"/>
      <c r="CL134" s="49"/>
      <c r="CM134" s="55"/>
      <c r="ED134" s="49"/>
      <c r="EE134" s="55"/>
      <c r="ET134" s="49"/>
      <c r="EU134" s="55"/>
      <c r="JK134" s="327"/>
      <c r="JL134" s="328"/>
    </row>
    <row r="135" spans="1:272" ht="15" customHeight="1">
      <c r="F135" s="62"/>
      <c r="G135" s="61" t="s">
        <v>51</v>
      </c>
      <c r="I135" s="78"/>
      <c r="J135" s="352"/>
      <c r="AR135" s="55"/>
      <c r="CL135" s="49"/>
      <c r="CM135" s="55"/>
      <c r="ED135" s="49"/>
      <c r="EE135" s="55"/>
      <c r="ET135" s="49"/>
      <c r="EU135" s="55"/>
      <c r="JK135" s="327"/>
      <c r="JL135" s="328"/>
    </row>
    <row r="136" spans="1:272" ht="15" customHeight="1">
      <c r="A136" s="330" t="s">
        <v>1660</v>
      </c>
      <c r="F136" s="71">
        <v>408</v>
      </c>
      <c r="G136" s="63" t="s">
        <v>9</v>
      </c>
      <c r="H136" s="367">
        <f>SUM(((VLOOKUP(A136,'REVEXP-UNADJ-FERC IS'!$B$8:$E$157,4,FALSE))))</f>
        <v>4295316</v>
      </c>
      <c r="I136" s="13">
        <f>SUM(K136:AO136)</f>
        <v>675894.86987700453</v>
      </c>
      <c r="J136" s="13">
        <f>H136+I136</f>
        <v>4971210.869877005</v>
      </c>
      <c r="AI136" s="53">
        <v>675894.86987700453</v>
      </c>
      <c r="AR136" s="55"/>
      <c r="CL136" s="49"/>
      <c r="CM136" s="55"/>
      <c r="ED136" s="49"/>
      <c r="EE136" s="55"/>
      <c r="ET136" s="49"/>
      <c r="EU136" s="55"/>
      <c r="JK136" s="327"/>
      <c r="JL136" s="328"/>
    </row>
    <row r="137" spans="1:272" ht="15" customHeight="1">
      <c r="A137" s="330" t="s">
        <v>1659</v>
      </c>
      <c r="B137" s="330" t="s">
        <v>1658</v>
      </c>
      <c r="F137" s="71">
        <v>408</v>
      </c>
      <c r="G137" s="63" t="s">
        <v>490</v>
      </c>
      <c r="H137" s="367">
        <f>SUM(((VLOOKUP(A137,'REVEXP-UNADJ-FERC IS'!$B$8:$E$157,4,FALSE))))+SUM(((VLOOKUP(B137,'REVEXP-UNADJ-FERC IS'!$B$8:$E$157,4,FALSE))))</f>
        <v>863999.41000000015</v>
      </c>
      <c r="I137" s="13">
        <f>SUM(K137:AO137)</f>
        <v>17570.505799999999</v>
      </c>
      <c r="J137" s="13">
        <f>H137+I137</f>
        <v>881569.91580000019</v>
      </c>
      <c r="AE137" s="53">
        <v>31506.505799999999</v>
      </c>
      <c r="AN137" s="53">
        <v>-13936</v>
      </c>
      <c r="AR137" s="55"/>
      <c r="CL137" s="49"/>
      <c r="CM137" s="55"/>
      <c r="ED137" s="49"/>
      <c r="EE137" s="55"/>
      <c r="ET137" s="49"/>
      <c r="EU137" s="55"/>
      <c r="JK137" s="327"/>
      <c r="JL137" s="328" t="s">
        <v>239</v>
      </c>
    </row>
    <row r="138" spans="1:272" ht="15" customHeight="1">
      <c r="F138" s="71"/>
      <c r="G138" s="80" t="s">
        <v>139</v>
      </c>
      <c r="H138" s="364">
        <f>SUM(H136:H137)</f>
        <v>5159315.41</v>
      </c>
      <c r="I138" s="364">
        <f>SUM(I136:I137)</f>
        <v>693465.37567700457</v>
      </c>
      <c r="J138" s="364">
        <f>SUM(J136:J137)</f>
        <v>5852780.7856770055</v>
      </c>
      <c r="AR138" s="55"/>
      <c r="CL138" s="49"/>
      <c r="CM138" s="55"/>
      <c r="ED138" s="49"/>
      <c r="EE138" s="55"/>
      <c r="ET138" s="49"/>
      <c r="EU138" s="55"/>
      <c r="JK138" s="327"/>
      <c r="JL138" s="328"/>
    </row>
    <row r="139" spans="1:272" ht="15" customHeight="1">
      <c r="F139" s="62"/>
      <c r="G139" s="79"/>
      <c r="H139" s="354"/>
      <c r="I139" s="52"/>
      <c r="J139" s="52"/>
      <c r="AR139" s="55"/>
      <c r="CL139" s="49"/>
      <c r="CM139" s="55"/>
      <c r="ED139" s="49"/>
      <c r="EE139" s="55"/>
      <c r="ET139" s="49"/>
      <c r="EU139" s="55"/>
      <c r="JK139" s="327"/>
      <c r="JL139" s="328"/>
    </row>
    <row r="140" spans="1:272" ht="15" customHeight="1">
      <c r="F140" s="62"/>
      <c r="G140" s="79" t="s">
        <v>140</v>
      </c>
      <c r="H140" s="354"/>
      <c r="I140" s="52"/>
      <c r="J140" s="52"/>
      <c r="AR140" s="55"/>
      <c r="CL140" s="49"/>
      <c r="CM140" s="55"/>
      <c r="ED140" s="49"/>
      <c r="EE140" s="55"/>
      <c r="ET140" s="49"/>
      <c r="EU140" s="55"/>
      <c r="JK140" s="327"/>
      <c r="JL140" s="328"/>
    </row>
    <row r="141" spans="1:272" ht="15" customHeight="1">
      <c r="F141" s="66">
        <v>431</v>
      </c>
      <c r="G141" s="63" t="s">
        <v>1750</v>
      </c>
      <c r="H141" s="369">
        <f>'Customer Deposits'!H23</f>
        <v>53976.84</v>
      </c>
      <c r="I141" s="13">
        <f>SUM(K141:AO141)</f>
        <v>0</v>
      </c>
      <c r="J141" s="13">
        <f>H141+I141</f>
        <v>53976.84</v>
      </c>
      <c r="AR141" s="55"/>
      <c r="CL141" s="49"/>
      <c r="CM141" s="55"/>
      <c r="ED141" s="49"/>
      <c r="EE141" s="55"/>
      <c r="ET141" s="49"/>
      <c r="EU141" s="55"/>
      <c r="JK141" s="327"/>
      <c r="JL141" s="328"/>
    </row>
    <row r="142" spans="1:272" ht="15" customHeight="1">
      <c r="F142" s="62"/>
      <c r="G142" s="80" t="s">
        <v>141</v>
      </c>
      <c r="H142" s="364">
        <f>SUM(H141)</f>
        <v>53976.84</v>
      </c>
      <c r="I142" s="364">
        <f>SUM(I141)</f>
        <v>0</v>
      </c>
      <c r="J142" s="364">
        <f>SUM(J141)</f>
        <v>53976.84</v>
      </c>
      <c r="AR142" s="55"/>
      <c r="CL142" s="49"/>
      <c r="CM142" s="55"/>
      <c r="ED142" s="49"/>
      <c r="EE142" s="55"/>
      <c r="ET142" s="49"/>
      <c r="EU142" s="55"/>
      <c r="JK142" s="327"/>
      <c r="JL142" s="328"/>
    </row>
    <row r="143" spans="1:272" ht="15" customHeight="1">
      <c r="F143" s="62"/>
      <c r="G143" s="79"/>
      <c r="H143" s="359"/>
      <c r="I143" s="52"/>
      <c r="J143" s="52"/>
      <c r="AR143" s="55"/>
      <c r="CL143" s="49"/>
      <c r="CM143" s="55"/>
      <c r="ED143" s="49"/>
      <c r="EE143" s="55"/>
      <c r="ET143" s="49"/>
      <c r="EU143" s="55"/>
      <c r="JK143" s="327"/>
      <c r="JL143" s="328"/>
    </row>
    <row r="144" spans="1:272" ht="15" customHeight="1">
      <c r="F144" s="71"/>
      <c r="G144" s="79" t="s">
        <v>8</v>
      </c>
      <c r="H144" s="356"/>
      <c r="I144" s="54"/>
      <c r="AR144" s="55"/>
      <c r="CL144" s="49"/>
      <c r="CM144" s="55"/>
      <c r="ED144" s="49"/>
      <c r="EE144" s="55"/>
      <c r="ET144" s="49"/>
      <c r="EU144" s="55"/>
      <c r="JK144" s="327"/>
      <c r="JL144" s="328"/>
    </row>
    <row r="145" spans="1:272" ht="15" customHeight="1">
      <c r="A145" s="330" t="s">
        <v>1661</v>
      </c>
      <c r="B145" s="330" t="s">
        <v>1662</v>
      </c>
      <c r="F145" s="71">
        <v>409</v>
      </c>
      <c r="G145" s="55" t="s">
        <v>142</v>
      </c>
      <c r="H145" s="367">
        <f>SUM(((VLOOKUP(A145,'REVEXP-UNADJ-FERC IS'!$B$8:$E$157,4,FALSE))))+SUM(((VLOOKUP(B145,'REVEXP-UNADJ-FERC IS'!$B$8:$E$157,4,FALSE))))</f>
        <v>1783567.6700000002</v>
      </c>
      <c r="I145" s="13">
        <f>SUM(K145:AO145)</f>
        <v>-414703.45905165724</v>
      </c>
      <c r="J145" s="13">
        <f>H145+I145</f>
        <v>1368864.2109483429</v>
      </c>
      <c r="X145" s="1125">
        <f>'Income Tax Lead'!C42</f>
        <v>-414703.45905165724</v>
      </c>
      <c r="AR145" s="55"/>
      <c r="CL145" s="49"/>
      <c r="CM145" s="55"/>
      <c r="ED145" s="49"/>
      <c r="EE145" s="55"/>
      <c r="ET145" s="49"/>
      <c r="EU145" s="55"/>
      <c r="JK145" s="327"/>
      <c r="JL145" s="328" t="s">
        <v>240</v>
      </c>
    </row>
    <row r="146" spans="1:272" ht="15" customHeight="1">
      <c r="A146" s="330" t="s">
        <v>1663</v>
      </c>
      <c r="F146" s="66">
        <v>410.1</v>
      </c>
      <c r="G146" s="63" t="s">
        <v>143</v>
      </c>
      <c r="H146" s="367">
        <f>SUM(((VLOOKUP(A146,'REVEXP-UNADJ-FERC IS'!$B$8:$E$157,4,FALSE))))</f>
        <v>2422610.84</v>
      </c>
      <c r="I146" s="13">
        <f>SUM(K146:AO146)</f>
        <v>104958.6574074761</v>
      </c>
      <c r="J146" s="13">
        <f>H146+I146</f>
        <v>2527569.497407476</v>
      </c>
      <c r="X146" s="53">
        <f>'Income Tax Lead'!G68</f>
        <v>104958.6574074761</v>
      </c>
      <c r="AR146" s="55"/>
      <c r="CL146" s="49"/>
      <c r="CM146" s="55"/>
      <c r="ED146" s="49"/>
      <c r="EE146" s="55"/>
      <c r="ET146" s="49"/>
      <c r="EU146" s="55"/>
      <c r="JK146" s="327"/>
      <c r="JL146" s="328" t="s">
        <v>241</v>
      </c>
    </row>
    <row r="147" spans="1:272" ht="15" customHeight="1">
      <c r="A147" s="330" t="s">
        <v>1664</v>
      </c>
      <c r="F147" s="71">
        <v>411</v>
      </c>
      <c r="G147" s="63" t="s">
        <v>144</v>
      </c>
      <c r="H147" s="367">
        <f>SUM(((VLOOKUP(A147,'REVEXP-UNADJ-FERC IS'!$B$8:$E$157,4,FALSE))))</f>
        <v>-2143670.7200000002</v>
      </c>
      <c r="I147" s="13">
        <f>SUM(K147:AO147)</f>
        <v>0</v>
      </c>
      <c r="J147" s="13">
        <f>H147+I147</f>
        <v>-2143670.7200000002</v>
      </c>
      <c r="AR147" s="55"/>
      <c r="CL147" s="49"/>
      <c r="CM147" s="55"/>
      <c r="ED147" s="49"/>
      <c r="EE147" s="55"/>
      <c r="ET147" s="49"/>
      <c r="EU147" s="55"/>
      <c r="JK147" s="327"/>
      <c r="JL147" s="328" t="s">
        <v>242</v>
      </c>
    </row>
    <row r="148" spans="1:272" ht="15" customHeight="1">
      <c r="F148" s="62"/>
      <c r="G148" s="69" t="s">
        <v>318</v>
      </c>
      <c r="H148" s="364">
        <f>SUM(H145:H147)</f>
        <v>2062507.7899999996</v>
      </c>
      <c r="I148" s="364">
        <f>SUM(I145:I147)</f>
        <v>-309744.80164418113</v>
      </c>
      <c r="J148" s="364">
        <f>SUM(J145:J147)</f>
        <v>1752762.9883558187</v>
      </c>
      <c r="AR148" s="55"/>
      <c r="CL148" s="49"/>
      <c r="CM148" s="55"/>
      <c r="ED148" s="49"/>
      <c r="EE148" s="55"/>
      <c r="ET148" s="49"/>
      <c r="EU148" s="55"/>
      <c r="JK148" s="327"/>
      <c r="JL148" s="328"/>
    </row>
    <row r="149" spans="1:272" ht="15" customHeight="1">
      <c r="F149" s="62"/>
      <c r="G149" s="69"/>
      <c r="H149" s="355"/>
      <c r="I149" s="70"/>
      <c r="J149" s="70"/>
      <c r="AR149" s="55"/>
      <c r="CL149" s="49"/>
      <c r="CM149" s="55"/>
      <c r="ED149" s="49"/>
      <c r="EE149" s="55"/>
      <c r="ET149" s="49"/>
      <c r="EU149" s="55"/>
      <c r="JK149" s="327"/>
      <c r="JL149" s="328"/>
    </row>
    <row r="150" spans="1:272" ht="15" customHeight="1" thickBot="1">
      <c r="F150" s="62"/>
      <c r="G150" s="81" t="s">
        <v>145</v>
      </c>
      <c r="H150" s="24">
        <f>H138+H148</f>
        <v>7221823.1999999993</v>
      </c>
      <c r="I150" s="24">
        <f>I138+I148</f>
        <v>383720.57403282344</v>
      </c>
      <c r="J150" s="24">
        <f>J138+J148</f>
        <v>7605543.7740328237</v>
      </c>
      <c r="AP150" s="66"/>
      <c r="AR150" s="55"/>
      <c r="CL150" s="49"/>
      <c r="CM150" s="55"/>
      <c r="ED150" s="49"/>
      <c r="EE150" s="55"/>
      <c r="ET150" s="49"/>
      <c r="EU150" s="55"/>
      <c r="JK150" s="327"/>
      <c r="JL150" s="328"/>
    </row>
    <row r="151" spans="1:272" ht="15" customHeight="1" thickTop="1">
      <c r="F151" s="62"/>
      <c r="G151" s="79"/>
      <c r="H151" s="359"/>
      <c r="I151" s="78"/>
      <c r="J151" s="352"/>
      <c r="AP151" s="66"/>
      <c r="AR151" s="55"/>
      <c r="CL151" s="49"/>
      <c r="CM151" s="55"/>
      <c r="ED151" s="49"/>
      <c r="EE151" s="55"/>
      <c r="ET151" s="49"/>
      <c r="EU151" s="55"/>
      <c r="JK151" s="327"/>
      <c r="JL151" s="328"/>
    </row>
    <row r="152" spans="1:272" ht="15" customHeight="1">
      <c r="F152" s="62"/>
      <c r="G152" s="82" t="s">
        <v>146</v>
      </c>
      <c r="H152" s="228">
        <f>H83+H133+H138+H142</f>
        <v>110837421.56</v>
      </c>
      <c r="I152" s="228">
        <f>I83+I133+I138+I142</f>
        <v>-58522781.021878861</v>
      </c>
      <c r="J152" s="228">
        <f>J83+J133+J138+J142</f>
        <v>52314640.538121134</v>
      </c>
      <c r="AP152" s="66"/>
      <c r="AR152" s="55"/>
      <c r="CL152" s="49"/>
      <c r="CM152" s="55"/>
      <c r="ED152" s="49"/>
      <c r="EE152" s="55"/>
      <c r="ET152" s="49"/>
      <c r="EU152" s="55"/>
      <c r="JK152" s="327"/>
      <c r="JL152" s="328"/>
    </row>
    <row r="153" spans="1:272" ht="15" customHeight="1">
      <c r="F153" s="62"/>
      <c r="G153" s="79"/>
      <c r="H153" s="359"/>
      <c r="I153" s="78"/>
      <c r="J153" s="352"/>
      <c r="AP153" s="66"/>
      <c r="AR153" s="55"/>
      <c r="CL153" s="49"/>
      <c r="CM153" s="55"/>
      <c r="ED153" s="49"/>
      <c r="EE153" s="55"/>
      <c r="ET153" s="49"/>
      <c r="EU153" s="55"/>
      <c r="JK153" s="327"/>
      <c r="JL153" s="328"/>
    </row>
    <row r="154" spans="1:272" ht="12.9" customHeight="1" thickBot="1">
      <c r="F154" s="71"/>
      <c r="G154" s="81" t="s">
        <v>147</v>
      </c>
      <c r="H154" s="365">
        <f>+H83+H133+H150+H142</f>
        <v>112899929.35000001</v>
      </c>
      <c r="I154" s="365">
        <f>+I83+I133+I150+I142</f>
        <v>-58832525.823523045</v>
      </c>
      <c r="J154" s="365">
        <f>+J83+J133+J150+J142</f>
        <v>54067403.526476949</v>
      </c>
      <c r="AP154" s="66"/>
      <c r="AR154" s="55"/>
      <c r="CL154" s="49"/>
      <c r="CM154" s="55"/>
      <c r="ED154" s="49"/>
      <c r="EE154" s="55"/>
      <c r="ET154" s="49"/>
      <c r="EU154" s="55"/>
      <c r="JK154" s="327"/>
      <c r="JL154" s="328"/>
    </row>
    <row r="155" spans="1:272" ht="15" customHeight="1" thickTop="1">
      <c r="A155" s="55"/>
      <c r="B155" s="55"/>
      <c r="C155" s="55"/>
      <c r="D155" s="55"/>
      <c r="E155" s="55"/>
      <c r="F155" s="66"/>
      <c r="H155" s="126"/>
      <c r="AR155" s="55"/>
      <c r="CL155" s="49"/>
      <c r="CM155" s="55"/>
      <c r="ED155" s="49"/>
      <c r="EE155" s="55"/>
      <c r="EN155" s="83"/>
      <c r="EO155" s="83"/>
      <c r="EP155" s="83"/>
      <c r="EQ155" s="83"/>
      <c r="ER155" s="83"/>
      <c r="ET155" s="49"/>
      <c r="EU155" s="55"/>
      <c r="JK155" s="327"/>
      <c r="JL155" s="328"/>
    </row>
    <row r="156" spans="1:272" ht="15" customHeight="1">
      <c r="A156" s="55"/>
      <c r="B156" s="55"/>
      <c r="C156" s="55"/>
      <c r="D156" s="55"/>
      <c r="E156" s="55"/>
      <c r="F156" s="66"/>
      <c r="G156" s="79" t="s">
        <v>498</v>
      </c>
      <c r="H156" s="150">
        <f>'REVEXP-UNADJ-FERC IS'!E123</f>
        <v>112845952.51000001</v>
      </c>
      <c r="J156" s="55"/>
      <c r="AR156" s="55"/>
      <c r="CL156" s="49"/>
      <c r="CM156" s="55"/>
      <c r="ED156" s="49"/>
      <c r="EE156" s="55"/>
      <c r="EN156" s="83"/>
      <c r="EO156" s="83"/>
      <c r="EP156" s="83"/>
      <c r="EQ156" s="83"/>
      <c r="ER156" s="83"/>
      <c r="ET156" s="49"/>
      <c r="EU156" s="55"/>
      <c r="JK156" s="327"/>
      <c r="JL156" s="328"/>
    </row>
    <row r="157" spans="1:272" ht="15" customHeight="1">
      <c r="A157" s="55"/>
      <c r="B157" s="55"/>
      <c r="C157" s="55"/>
      <c r="D157" s="55"/>
      <c r="E157" s="55"/>
      <c r="F157" s="66"/>
      <c r="G157" s="55" t="s">
        <v>634</v>
      </c>
      <c r="H157" s="150">
        <v>0</v>
      </c>
      <c r="J157" s="55"/>
      <c r="AR157" s="55"/>
      <c r="CL157" s="49"/>
      <c r="CM157" s="55"/>
      <c r="ED157" s="49"/>
      <c r="EE157" s="55"/>
      <c r="EN157" s="83"/>
      <c r="EO157" s="83"/>
      <c r="EP157" s="83"/>
      <c r="EQ157" s="83"/>
      <c r="ER157" s="83"/>
      <c r="ET157" s="49"/>
      <c r="EU157" s="55"/>
      <c r="JK157" s="327"/>
      <c r="JL157" s="328"/>
    </row>
    <row r="158" spans="1:272" ht="15" customHeight="1">
      <c r="A158" s="55"/>
      <c r="B158" s="55"/>
      <c r="C158" s="55"/>
      <c r="D158" s="55"/>
      <c r="E158" s="55"/>
      <c r="F158" s="66"/>
      <c r="G158" s="335" t="s">
        <v>499</v>
      </c>
      <c r="H158" s="336">
        <f>H141</f>
        <v>53976.84</v>
      </c>
      <c r="J158" s="55"/>
      <c r="AR158" s="55"/>
      <c r="CL158" s="49"/>
      <c r="CM158" s="55"/>
      <c r="ED158" s="49"/>
      <c r="EE158" s="55"/>
      <c r="EN158" s="83"/>
      <c r="EO158" s="83"/>
      <c r="EP158" s="83"/>
      <c r="EQ158" s="83"/>
      <c r="ER158" s="83"/>
      <c r="ET158" s="49"/>
      <c r="EU158" s="55"/>
      <c r="JK158" s="327"/>
      <c r="JL158" s="328"/>
    </row>
    <row r="159" spans="1:272" ht="15" customHeight="1">
      <c r="A159" s="55"/>
      <c r="B159" s="55"/>
      <c r="C159" s="55"/>
      <c r="D159" s="55"/>
      <c r="E159" s="55"/>
      <c r="F159" s="66"/>
      <c r="G159" s="80" t="s">
        <v>16</v>
      </c>
      <c r="H159" s="337">
        <f>SUM(H156:H158)</f>
        <v>112899929.35000001</v>
      </c>
      <c r="AR159" s="55"/>
      <c r="CL159" s="49"/>
      <c r="CM159" s="55"/>
      <c r="ED159" s="49"/>
      <c r="EE159" s="55"/>
      <c r="EN159" s="83"/>
      <c r="EO159" s="83"/>
      <c r="EP159" s="83"/>
      <c r="EQ159" s="83"/>
      <c r="ER159" s="83"/>
      <c r="ET159" s="49"/>
      <c r="EU159" s="55"/>
      <c r="JK159" s="327"/>
      <c r="JL159" s="328"/>
    </row>
    <row r="160" spans="1:272" ht="15" customHeight="1">
      <c r="A160" s="55"/>
      <c r="B160" s="55"/>
      <c r="C160" s="55"/>
      <c r="D160" s="55"/>
      <c r="E160" s="55"/>
      <c r="F160" s="66"/>
      <c r="G160" s="63" t="s">
        <v>3</v>
      </c>
      <c r="H160" s="338">
        <f>H154-H159</f>
        <v>0</v>
      </c>
    </row>
    <row r="161" spans="1:22" ht="15" customHeight="1" thickBot="1">
      <c r="A161" s="55"/>
      <c r="B161" s="55"/>
      <c r="C161" s="55"/>
      <c r="D161" s="55"/>
      <c r="E161" s="55"/>
      <c r="F161" s="66"/>
      <c r="G161" s="61"/>
      <c r="H161" s="126"/>
    </row>
    <row r="162" spans="1:22" ht="15" customHeight="1">
      <c r="A162" s="55"/>
      <c r="B162" s="55"/>
      <c r="C162" s="55"/>
      <c r="D162" s="55"/>
      <c r="E162" s="55"/>
      <c r="F162" s="65"/>
      <c r="G162" s="84" t="s">
        <v>148</v>
      </c>
      <c r="H162" s="127" t="s">
        <v>702</v>
      </c>
      <c r="I162" s="85" t="s">
        <v>700</v>
      </c>
      <c r="J162" s="470" t="s">
        <v>701</v>
      </c>
    </row>
    <row r="163" spans="1:22" ht="15" customHeight="1">
      <c r="A163" s="55"/>
      <c r="B163" s="55"/>
      <c r="C163" s="55"/>
      <c r="D163" s="55"/>
      <c r="E163" s="55"/>
      <c r="F163" s="65"/>
      <c r="G163" s="86" t="s">
        <v>149</v>
      </c>
      <c r="H163" s="128">
        <f>H165-H164</f>
        <v>0.44450000000000001</v>
      </c>
      <c r="I163" s="87">
        <v>5.1499999999999997E-2</v>
      </c>
      <c r="J163" s="88">
        <f>+I163*H163</f>
        <v>2.2891749999999999E-2</v>
      </c>
      <c r="V163" s="234"/>
    </row>
    <row r="164" spans="1:22" ht="15" customHeight="1">
      <c r="A164" s="55"/>
      <c r="B164" s="55"/>
      <c r="C164" s="55"/>
      <c r="D164" s="55"/>
      <c r="E164" s="55"/>
      <c r="F164" s="65"/>
      <c r="G164" s="86" t="s">
        <v>150</v>
      </c>
      <c r="H164" s="128">
        <v>0.55549999999999999</v>
      </c>
      <c r="I164" s="87" t="e">
        <f>#REF!</f>
        <v>#REF!</v>
      </c>
      <c r="J164" s="88" t="e">
        <f>+I164*H164</f>
        <v>#REF!</v>
      </c>
    </row>
    <row r="165" spans="1:22" ht="15" customHeight="1">
      <c r="A165" s="55"/>
      <c r="B165" s="55"/>
      <c r="C165" s="55"/>
      <c r="D165" s="55"/>
      <c r="E165" s="55"/>
      <c r="F165" s="65"/>
      <c r="G165" s="86"/>
      <c r="H165" s="129">
        <v>1</v>
      </c>
      <c r="I165" s="89"/>
      <c r="J165" s="1127" t="e">
        <f>+J163+J164-0.00001</f>
        <v>#REF!</v>
      </c>
    </row>
    <row r="166" spans="1:22" ht="15" customHeight="1" thickBot="1">
      <c r="A166" s="55"/>
      <c r="B166" s="55"/>
      <c r="C166" s="55"/>
      <c r="D166" s="55"/>
      <c r="E166" s="55"/>
      <c r="F166" s="65"/>
      <c r="G166" s="90"/>
      <c r="H166" s="130"/>
      <c r="I166" s="91"/>
      <c r="J166" s="92"/>
    </row>
    <row r="167" spans="1:22" ht="15" customHeight="1">
      <c r="A167" s="55"/>
      <c r="B167" s="55"/>
      <c r="C167" s="55"/>
      <c r="D167" s="55"/>
      <c r="E167" s="55"/>
      <c r="F167" s="65"/>
      <c r="G167" s="61"/>
      <c r="H167" s="131"/>
      <c r="J167" s="93"/>
    </row>
    <row r="168" spans="1:22" ht="15" customHeight="1">
      <c r="A168" s="55"/>
      <c r="B168" s="55"/>
      <c r="C168" s="55"/>
      <c r="D168" s="55"/>
      <c r="E168" s="55"/>
      <c r="F168" s="65"/>
      <c r="G168" s="61"/>
      <c r="H168" s="131"/>
      <c r="J168" s="94"/>
    </row>
    <row r="169" spans="1:22" ht="15" customHeight="1">
      <c r="A169" s="55"/>
      <c r="B169" s="55"/>
      <c r="C169" s="55"/>
      <c r="D169" s="55"/>
      <c r="E169" s="55"/>
      <c r="F169" s="65"/>
      <c r="G169" s="76"/>
      <c r="H169" s="132" t="s">
        <v>151</v>
      </c>
      <c r="J169" s="95" t="s">
        <v>152</v>
      </c>
    </row>
    <row r="170" spans="1:22" ht="15" customHeight="1">
      <c r="A170" s="55"/>
      <c r="B170" s="55"/>
      <c r="C170" s="55"/>
      <c r="D170" s="55"/>
      <c r="E170" s="55"/>
      <c r="F170" s="65"/>
      <c r="G170" s="76" t="s">
        <v>153</v>
      </c>
      <c r="H170" s="133">
        <f>+H21</f>
        <v>126161046.29999998</v>
      </c>
      <c r="I170" s="52">
        <f>+J170-H170</f>
        <v>-57175334.35999997</v>
      </c>
      <c r="J170" s="94">
        <f>+J21</f>
        <v>68985711.940000013</v>
      </c>
    </row>
    <row r="171" spans="1:22" ht="15" customHeight="1">
      <c r="A171" s="55"/>
      <c r="B171" s="55"/>
      <c r="C171" s="55"/>
      <c r="D171" s="55"/>
      <c r="E171" s="55"/>
      <c r="F171" s="65"/>
      <c r="G171" s="76" t="s">
        <v>154</v>
      </c>
      <c r="H171" s="133">
        <f>+H154</f>
        <v>112899929.35000001</v>
      </c>
      <c r="I171" s="52">
        <f>+J171-H171</f>
        <v>-58832525.823523059</v>
      </c>
      <c r="J171" s="94">
        <f>+J154</f>
        <v>54067403.526476949</v>
      </c>
    </row>
    <row r="172" spans="1:22" ht="15" customHeight="1" thickBot="1">
      <c r="A172" s="55"/>
      <c r="B172" s="55"/>
      <c r="C172" s="55"/>
      <c r="D172" s="55"/>
      <c r="E172" s="55"/>
      <c r="F172" s="65"/>
      <c r="G172" s="76" t="s">
        <v>155</v>
      </c>
      <c r="H172" s="134">
        <f>+H170-H171</f>
        <v>13261116.949999973</v>
      </c>
      <c r="I172" s="60">
        <f>+I170-I171</f>
        <v>1657191.4635230899</v>
      </c>
      <c r="J172" s="96">
        <f>+J170-J171</f>
        <v>14918308.413523063</v>
      </c>
    </row>
    <row r="173" spans="1:22" ht="15" customHeight="1" thickTop="1">
      <c r="A173" s="55"/>
      <c r="B173" s="55"/>
      <c r="C173" s="55"/>
      <c r="D173" s="55"/>
      <c r="E173" s="55"/>
      <c r="F173" s="65"/>
      <c r="G173" s="61"/>
      <c r="H173" s="135"/>
      <c r="I173" s="49" t="e">
        <f>+I172-#REF!</f>
        <v>#REF!</v>
      </c>
      <c r="J173" s="54">
        <f>+J172-J174</f>
        <v>14918308.413523063</v>
      </c>
    </row>
    <row r="174" spans="1:22" ht="15" customHeight="1" thickBot="1">
      <c r="A174" s="55"/>
      <c r="B174" s="55"/>
      <c r="C174" s="55"/>
      <c r="D174" s="55"/>
      <c r="E174" s="55"/>
      <c r="F174" s="66"/>
      <c r="G174" s="63"/>
      <c r="H174" s="136"/>
    </row>
    <row r="175" spans="1:22" ht="15" customHeight="1" thickBot="1">
      <c r="A175" s="55"/>
      <c r="B175" s="55"/>
      <c r="C175" s="55"/>
      <c r="D175" s="55"/>
      <c r="E175" s="55"/>
      <c r="F175" s="66"/>
      <c r="H175" s="137" t="s">
        <v>156</v>
      </c>
      <c r="I175" s="97"/>
      <c r="J175" s="98"/>
    </row>
    <row r="176" spans="1:22" ht="15" customHeight="1">
      <c r="A176" s="55"/>
      <c r="B176" s="55"/>
      <c r="C176" s="55"/>
      <c r="D176" s="55"/>
      <c r="E176" s="55"/>
      <c r="F176" s="66"/>
      <c r="H176" s="138" t="s">
        <v>157</v>
      </c>
      <c r="I176" s="99" t="s">
        <v>158</v>
      </c>
      <c r="J176" s="99" t="s">
        <v>3</v>
      </c>
    </row>
    <row r="177" spans="1:10" ht="15" customHeight="1">
      <c r="A177" s="330" t="s">
        <v>1609</v>
      </c>
      <c r="B177" s="330" t="s">
        <v>1610</v>
      </c>
      <c r="C177" s="330" t="s">
        <v>1611</v>
      </c>
      <c r="D177" s="330" t="s">
        <v>1613</v>
      </c>
      <c r="E177" s="330" t="s">
        <v>1616</v>
      </c>
      <c r="F177" s="66"/>
      <c r="G177" s="100" t="s">
        <v>52</v>
      </c>
      <c r="H177" s="237">
        <f>SUM(((VLOOKUP(A177,'REVEXP-UNADJ-FERC IS'!$B$9:$E$157,4,FALSE)+(VLOOKUP('Rev Exp'!B177,'REVEXP-UNADJ-FERC IS'!$B$9:$E$157,4,FALSE)+(VLOOKUP('Rev Exp'!C177,'REVEXP-UNADJ-FERC IS'!$B$9:$E$157,4,FALSE)+(VLOOKUP('Rev Exp'!D177,'REVEXP-UNADJ-FERC IS'!$B$9:$E$157,4,FALSE)+(VLOOKUP('Rev Exp'!E177,'REVEXP-UNADJ-FERC IS'!$B$9:$E$157,4,FALSE))))))))</f>
        <v>123769082.23</v>
      </c>
      <c r="I177" s="237">
        <f>+H13</f>
        <v>123769082.22999999</v>
      </c>
      <c r="J177" s="237">
        <f>+I177-H177</f>
        <v>0</v>
      </c>
    </row>
    <row r="178" spans="1:10" ht="15" customHeight="1">
      <c r="B178" s="330" t="s">
        <v>1614</v>
      </c>
      <c r="C178" s="330" t="s">
        <v>1615</v>
      </c>
      <c r="D178" s="330" t="s">
        <v>1617</v>
      </c>
      <c r="G178" s="100" t="s">
        <v>159</v>
      </c>
      <c r="H178" s="237">
        <f>SUM(((VLOOKUP('Rev Exp'!B178,'REVEXP-UNADJ-FERC IS'!$B$9:$E$157,4,FALSE)+(VLOOKUP('Rev Exp'!C178,'REVEXP-UNADJ-FERC IS'!$B$9:$E$157,4,FALSE)+(VLOOKUP(D178,'REVEXP-UNADJ-FERC IS'!$B$9:$E$157,4,FALSE))))))</f>
        <v>2391964.0699999998</v>
      </c>
      <c r="I178" s="237">
        <f>+H19</f>
        <v>2391964.0700000003</v>
      </c>
      <c r="J178" s="237">
        <f>+I178-H178</f>
        <v>0</v>
      </c>
    </row>
    <row r="179" spans="1:10" ht="15" customHeight="1">
      <c r="F179" s="66"/>
      <c r="G179" s="100"/>
      <c r="H179" s="238">
        <f>SUM(H177:H178)</f>
        <v>126161046.3</v>
      </c>
      <c r="I179" s="238">
        <f>SUM(I177:I178)</f>
        <v>126161046.29999998</v>
      </c>
      <c r="J179" s="238">
        <f>SUM(J177:J178)</f>
        <v>0</v>
      </c>
    </row>
    <row r="180" spans="1:10" ht="15" customHeight="1">
      <c r="F180" s="66"/>
      <c r="G180" s="100"/>
      <c r="H180" s="237"/>
      <c r="I180" s="237"/>
      <c r="J180" s="237"/>
    </row>
    <row r="181" spans="1:10" ht="15" customHeight="1">
      <c r="B181" s="330" t="s">
        <v>1620</v>
      </c>
      <c r="C181" s="330" t="s">
        <v>1621</v>
      </c>
      <c r="F181" s="66"/>
      <c r="G181" s="100" t="s">
        <v>62</v>
      </c>
      <c r="H181" s="237">
        <f>SUM((+(VLOOKUP('Rev Exp'!B181,'REVEXP-UNADJ-FERC IS'!$B$9:$E$157,4,FALSE)+(VLOOKUP('Rev Exp'!C181,'REVEXP-UNADJ-FERC IS'!$B$9:$E$157,4,FALSE)))))</f>
        <v>60226734.359999992</v>
      </c>
      <c r="I181" s="237">
        <f>+H27</f>
        <v>60226734.359999992</v>
      </c>
      <c r="J181" s="237">
        <f>+I181-H181</f>
        <v>0</v>
      </c>
    </row>
    <row r="182" spans="1:10" ht="15" customHeight="1">
      <c r="F182" s="66"/>
      <c r="G182" s="100" t="s">
        <v>160</v>
      </c>
      <c r="H182" s="934">
        <f>'REVEXP-UNADJ-FERC IS'!E61-'Rev Exp'!H181</f>
        <v>28732857.850000001</v>
      </c>
      <c r="I182" s="237">
        <f>+H34+H52+H65+H81</f>
        <v>28732857.850000001</v>
      </c>
      <c r="J182" s="237">
        <f>+I182-H182</f>
        <v>0</v>
      </c>
    </row>
    <row r="183" spans="1:10" ht="15" customHeight="1">
      <c r="F183" s="66"/>
      <c r="G183" s="100" t="s">
        <v>161</v>
      </c>
      <c r="H183" s="238">
        <f>SUM(H181:H182)</f>
        <v>88959592.209999993</v>
      </c>
      <c r="I183" s="238">
        <f>SUM(I181:I182)</f>
        <v>88959592.209999993</v>
      </c>
      <c r="J183" s="238">
        <f>SUM(J181:J182)</f>
        <v>0</v>
      </c>
    </row>
    <row r="184" spans="1:10" ht="15" customHeight="1">
      <c r="F184" s="66"/>
      <c r="G184" s="100"/>
      <c r="H184" s="237"/>
      <c r="I184" s="237"/>
      <c r="J184" s="237"/>
    </row>
    <row r="185" spans="1:10" ht="15" customHeight="1">
      <c r="F185" s="66"/>
      <c r="G185" s="100" t="s">
        <v>162</v>
      </c>
      <c r="H185" s="237">
        <f>SUM('REVEXP-UNADJ-FERC IS'!E62:E115)</f>
        <v>16664537.099999998</v>
      </c>
      <c r="I185" s="237">
        <f>+H133</f>
        <v>16664537.100000001</v>
      </c>
      <c r="J185" s="237">
        <f>+I185-H185</f>
        <v>0</v>
      </c>
    </row>
    <row r="186" spans="1:10" ht="15" customHeight="1">
      <c r="F186" s="66"/>
      <c r="G186" s="100" t="s">
        <v>51</v>
      </c>
      <c r="H186" s="239">
        <f>'REVEXP-UNADJ-FERC IS'!E116+'REVEXP-UNADJ-FERC IS'!E117+'REVEXP-UNADJ-FERC IS'!E118</f>
        <v>5159315.41</v>
      </c>
      <c r="I186" s="239">
        <f>+H138</f>
        <v>5159315.41</v>
      </c>
      <c r="J186" s="239">
        <f>+I186-H186</f>
        <v>0</v>
      </c>
    </row>
    <row r="187" spans="1:10" ht="15" customHeight="1">
      <c r="F187" s="66"/>
      <c r="G187" s="100"/>
      <c r="H187" s="237"/>
      <c r="I187" s="237"/>
      <c r="J187" s="237"/>
    </row>
    <row r="188" spans="1:10" ht="15" customHeight="1">
      <c r="F188" s="66"/>
      <c r="G188" s="100" t="s">
        <v>163</v>
      </c>
      <c r="H188" s="237">
        <f>+H179-H183-H185-H186</f>
        <v>15377601.580000006</v>
      </c>
      <c r="I188" s="237">
        <f>+I179-I183-I185-I186</f>
        <v>15377601.579999987</v>
      </c>
      <c r="J188" s="237">
        <f>+I188-H188</f>
        <v>-1.862645149230957E-8</v>
      </c>
    </row>
    <row r="189" spans="1:10" ht="15" customHeight="1">
      <c r="F189" s="66"/>
      <c r="G189" s="100"/>
      <c r="H189" s="237"/>
      <c r="I189" s="237"/>
      <c r="J189" s="237"/>
    </row>
    <row r="190" spans="1:10" ht="15" customHeight="1">
      <c r="F190" s="66"/>
      <c r="G190" s="100" t="s">
        <v>8</v>
      </c>
      <c r="H190" s="237">
        <f>+'REVEXP-UNADJ-FERC IS'!E119+'REVEXP-UNADJ-FERC IS'!E120+'REVEXP-UNADJ-FERC IS'!E121+'REVEXP-UNADJ-FERC IS'!E122</f>
        <v>2062507.7899999996</v>
      </c>
      <c r="I190" s="237">
        <f>+H148</f>
        <v>2062507.7899999996</v>
      </c>
      <c r="J190" s="237">
        <f>+I190-H190</f>
        <v>0</v>
      </c>
    </row>
    <row r="192" spans="1:10" ht="15" customHeight="1" thickBot="1">
      <c r="G192" s="100" t="s">
        <v>164</v>
      </c>
      <c r="H192" s="240">
        <f>+H188-H190</f>
        <v>13315093.790000007</v>
      </c>
      <c r="I192" s="240">
        <f>+I188-I190</f>
        <v>13315093.789999988</v>
      </c>
      <c r="J192" s="240">
        <f>+J188-J190</f>
        <v>-1.862645149230957E-8</v>
      </c>
    </row>
    <row r="193" spans="7:10" ht="15" customHeight="1" thickTop="1">
      <c r="G193" s="100"/>
      <c r="H193" s="241"/>
      <c r="I193" s="241"/>
      <c r="J193" s="242"/>
    </row>
    <row r="194" spans="7:10" ht="15" customHeight="1" thickBot="1">
      <c r="G194" s="100"/>
      <c r="H194" s="241"/>
      <c r="I194" s="241"/>
      <c r="J194" s="242"/>
    </row>
    <row r="195" spans="7:10" ht="15" customHeight="1" thickBot="1">
      <c r="H195" s="224" t="s">
        <v>165</v>
      </c>
      <c r="I195" s="225"/>
      <c r="J195" s="226"/>
    </row>
    <row r="196" spans="7:10" ht="15" customHeight="1">
      <c r="G196" s="101"/>
      <c r="H196" s="20" t="s">
        <v>151</v>
      </c>
      <c r="I196" s="20" t="s">
        <v>166</v>
      </c>
      <c r="J196" s="20" t="s">
        <v>152</v>
      </c>
    </row>
    <row r="197" spans="7:10" ht="15" customHeight="1">
      <c r="H197" s="228" t="s">
        <v>3</v>
      </c>
      <c r="I197" s="228" t="s">
        <v>3</v>
      </c>
      <c r="J197" s="228" t="s">
        <v>3</v>
      </c>
    </row>
    <row r="198" spans="7:10" ht="15" customHeight="1">
      <c r="G198" s="100" t="s">
        <v>167</v>
      </c>
      <c r="H198" s="43">
        <f>+H21/1000</f>
        <v>126161.04629999999</v>
      </c>
      <c r="I198" s="43">
        <f>+I21/1000</f>
        <v>-57175.334359999964</v>
      </c>
      <c r="J198" s="43">
        <f>+J21/1000</f>
        <v>68985.711940000008</v>
      </c>
    </row>
    <row r="199" spans="7:10" ht="15" customHeight="1">
      <c r="G199" s="100" t="s">
        <v>168</v>
      </c>
      <c r="H199" s="43">
        <f>'C1'!J16</f>
        <v>126161</v>
      </c>
      <c r="I199" s="43">
        <f>'C1'!L16</f>
        <v>-57175.334359999957</v>
      </c>
      <c r="J199" s="43">
        <f>'C1'!N16</f>
        <v>68985.665640000036</v>
      </c>
    </row>
    <row r="200" spans="7:10" ht="15" customHeight="1">
      <c r="G200" s="100" t="s">
        <v>3</v>
      </c>
      <c r="H200" s="43">
        <f>+H198-H199</f>
        <v>4.6299999987240881E-2</v>
      </c>
      <c r="I200" s="43">
        <f>+I198-I199</f>
        <v>0</v>
      </c>
      <c r="J200" s="43">
        <f>+J198-J199</f>
        <v>4.6299999972688965E-2</v>
      </c>
    </row>
    <row r="201" spans="7:10" ht="15" customHeight="1">
      <c r="G201" s="100"/>
      <c r="H201" s="43"/>
      <c r="I201" s="43"/>
      <c r="J201" s="43"/>
    </row>
    <row r="202" spans="7:10" ht="15" customHeight="1">
      <c r="G202" s="100" t="s">
        <v>169</v>
      </c>
      <c r="H202" s="43">
        <f>+H154/1000</f>
        <v>112899.92935000001</v>
      </c>
      <c r="I202" s="43">
        <f>+I154/1000</f>
        <v>-58832.525823523043</v>
      </c>
      <c r="J202" s="43">
        <f>+J154/1000</f>
        <v>54067.403526476948</v>
      </c>
    </row>
    <row r="203" spans="7:10" ht="15" customHeight="1">
      <c r="G203" s="100" t="s">
        <v>170</v>
      </c>
      <c r="H203" s="43">
        <f>+'C1'!J23</f>
        <v>112900</v>
      </c>
      <c r="I203" s="43">
        <f>+'C1'!L23</f>
        <v>-58832.525823523036</v>
      </c>
      <c r="J203" s="43">
        <f>+'C1'!N23</f>
        <v>54067.474176476964</v>
      </c>
    </row>
    <row r="204" spans="7:10" ht="15" customHeight="1">
      <c r="G204" s="100" t="s">
        <v>3</v>
      </c>
      <c r="H204" s="43">
        <f>+H202-H203</f>
        <v>-7.0649999994202517E-2</v>
      </c>
      <c r="I204" s="43">
        <f>+I202-I203</f>
        <v>0</v>
      </c>
      <c r="J204" s="43">
        <f>+J202-J203</f>
        <v>-7.065000001603039E-2</v>
      </c>
    </row>
    <row r="205" spans="7:10" ht="15" customHeight="1">
      <c r="G205" s="100"/>
      <c r="H205" s="43"/>
      <c r="I205" s="43"/>
      <c r="J205" s="43"/>
    </row>
    <row r="206" spans="7:10" ht="15" customHeight="1">
      <c r="G206" s="100" t="s">
        <v>171</v>
      </c>
      <c r="H206" s="43">
        <f>(H21-H154)/1000</f>
        <v>13261.116949999972</v>
      </c>
      <c r="I206" s="43">
        <f>(I21-I154)/1000</f>
        <v>1657.1914635230823</v>
      </c>
      <c r="J206" s="43">
        <f>(J21-J154)/1000</f>
        <v>14918.308413523064</v>
      </c>
    </row>
    <row r="207" spans="7:10" ht="15" customHeight="1">
      <c r="G207" s="100" t="s">
        <v>172</v>
      </c>
      <c r="H207" s="43">
        <f>+'C1'!J25</f>
        <v>13261</v>
      </c>
      <c r="I207" s="43">
        <f>+'C1'!L25</f>
        <v>1657.1914635230787</v>
      </c>
      <c r="J207" s="43">
        <f>+'C1'!N25</f>
        <v>14918.191463523071</v>
      </c>
    </row>
    <row r="208" spans="7:10" ht="15" customHeight="1">
      <c r="G208" s="100" t="s">
        <v>3</v>
      </c>
      <c r="H208" s="43">
        <f>+H206-H207</f>
        <v>0.11694999997234845</v>
      </c>
      <c r="I208" s="43">
        <f>+I206-I207</f>
        <v>3.637978807091713E-12</v>
      </c>
      <c r="J208" s="43">
        <f>+J206-J207</f>
        <v>0.11694999999235733</v>
      </c>
    </row>
    <row r="209" spans="6:10" ht="15" customHeight="1">
      <c r="G209" s="100"/>
      <c r="J209" s="102"/>
    </row>
    <row r="210" spans="6:10" ht="15" customHeight="1">
      <c r="G210" s="100"/>
      <c r="J210" s="102"/>
    </row>
    <row r="211" spans="6:10" ht="15" customHeight="1"/>
    <row r="212" spans="6:10" ht="15" customHeight="1"/>
    <row r="213" spans="6:10" ht="15" customHeight="1">
      <c r="G213" s="103"/>
      <c r="J213" s="104"/>
    </row>
    <row r="214" spans="6:10" ht="15" customHeight="1">
      <c r="G214" s="105"/>
      <c r="J214" s="106"/>
    </row>
    <row r="215" spans="6:10" ht="15" customHeight="1">
      <c r="G215" s="105"/>
      <c r="J215" s="107"/>
    </row>
    <row r="216" spans="6:10" ht="15" customHeight="1">
      <c r="G216" s="105"/>
      <c r="H216" s="139" t="s">
        <v>173</v>
      </c>
      <c r="I216" s="100"/>
    </row>
    <row r="217" spans="6:10" ht="15" customHeight="1">
      <c r="G217" s="105"/>
      <c r="H217" s="140" t="s">
        <v>174</v>
      </c>
      <c r="I217" s="108">
        <f>+J21</f>
        <v>68985711.940000013</v>
      </c>
      <c r="J217" s="109"/>
    </row>
    <row r="218" spans="6:10" ht="15" customHeight="1">
      <c r="G218" s="105"/>
      <c r="H218" s="141" t="s">
        <v>175</v>
      </c>
      <c r="I218" s="110">
        <f>+J152</f>
        <v>52314640.538121134</v>
      </c>
      <c r="J218" s="986">
        <f>I217-I218</f>
        <v>16671071.401878878</v>
      </c>
    </row>
    <row r="219" spans="6:10" ht="15" customHeight="1">
      <c r="G219" s="105"/>
      <c r="H219" s="141" t="s">
        <v>176</v>
      </c>
      <c r="I219" s="111">
        <f>+J163*'Rate Base'!H143</f>
        <v>6668261.0536346389</v>
      </c>
    </row>
    <row r="220" spans="6:10" ht="15" customHeight="1">
      <c r="G220" s="103"/>
      <c r="H220" s="140"/>
      <c r="I220" s="108">
        <f>+I217-I218-I219</f>
        <v>10002810.348244239</v>
      </c>
      <c r="J220" s="112"/>
    </row>
    <row r="221" spans="6:10" ht="15" customHeight="1">
      <c r="G221" s="113"/>
      <c r="H221" s="140" t="s">
        <v>177</v>
      </c>
      <c r="I221" s="1045">
        <f>'Income Tax Lead'!G54</f>
        <v>0.24867559</v>
      </c>
      <c r="J221" s="100"/>
    </row>
    <row r="222" spans="6:10" ht="15" customHeight="1">
      <c r="G222" s="113"/>
      <c r="I222" s="108">
        <f>+I221*I220</f>
        <v>2487454.7650077417</v>
      </c>
      <c r="J222" s="114"/>
    </row>
    <row r="223" spans="6:10" ht="15" customHeight="1">
      <c r="G223" s="115"/>
      <c r="H223" s="142" t="s">
        <v>178</v>
      </c>
      <c r="I223" s="110">
        <f>'Income Tax Lead'!G62</f>
        <v>-734691.7766519232</v>
      </c>
      <c r="J223" s="76"/>
    </row>
    <row r="224" spans="6:10" s="83" customFormat="1" ht="15" customHeight="1" thickBot="1">
      <c r="F224" s="62"/>
      <c r="G224" s="115"/>
      <c r="H224" s="140" t="s">
        <v>179</v>
      </c>
      <c r="I224" s="116">
        <f>I222+I223</f>
        <v>1752762.9883558187</v>
      </c>
      <c r="J224" s="49"/>
    </row>
    <row r="225" spans="6:10" s="83" customFormat="1" ht="15" customHeight="1" thickTop="1">
      <c r="F225" s="62"/>
      <c r="G225" s="115"/>
      <c r="H225" s="143"/>
      <c r="J225" s="49"/>
    </row>
    <row r="226" spans="6:10" s="83" customFormat="1" ht="15" customHeight="1">
      <c r="F226" s="62"/>
      <c r="G226" s="117"/>
      <c r="H226" s="140" t="s">
        <v>180</v>
      </c>
      <c r="I226" s="110">
        <f>+J148</f>
        <v>1752762.9883558187</v>
      </c>
      <c r="J226" s="49"/>
    </row>
    <row r="227" spans="6:10" s="83" customFormat="1" ht="15" customHeight="1">
      <c r="F227" s="62"/>
      <c r="G227" s="118"/>
      <c r="H227" s="140" t="s">
        <v>3</v>
      </c>
      <c r="I227" s="110">
        <f>+I226-I224</f>
        <v>0</v>
      </c>
      <c r="J227" s="63"/>
    </row>
    <row r="228" spans="6:10" s="83" customFormat="1" ht="15" customHeight="1">
      <c r="F228" s="62"/>
      <c r="G228" s="118"/>
      <c r="H228" s="125"/>
      <c r="I228" s="119"/>
      <c r="J228" s="63"/>
    </row>
    <row r="229" spans="6:10" s="83" customFormat="1" ht="15" customHeight="1">
      <c r="F229" s="62" t="s">
        <v>181</v>
      </c>
      <c r="G229" s="118"/>
      <c r="H229" s="125"/>
      <c r="I229" s="54"/>
      <c r="J229" s="49"/>
    </row>
    <row r="230" spans="6:10" s="83" customFormat="1" ht="15" customHeight="1" thickBot="1">
      <c r="F230" s="62"/>
      <c r="G230" s="100"/>
      <c r="H230" s="144"/>
      <c r="I230" s="54"/>
      <c r="J230" s="54"/>
    </row>
    <row r="231" spans="6:10" s="83" customFormat="1" ht="15" customHeight="1" thickBot="1">
      <c r="F231" s="62"/>
      <c r="G231" s="100"/>
      <c r="H231" s="145" t="s">
        <v>182</v>
      </c>
      <c r="I231" s="120">
        <f>+I21</f>
        <v>-57175334.359999962</v>
      </c>
      <c r="J231" s="54"/>
    </row>
    <row r="232" spans="6:10" s="83" customFormat="1" ht="15" customHeight="1">
      <c r="F232" s="62"/>
      <c r="G232" s="100"/>
      <c r="H232" s="146" t="s">
        <v>183</v>
      </c>
      <c r="I232" s="121">
        <f>+I83</f>
        <v>-59996771.659924865</v>
      </c>
      <c r="J232" s="54"/>
    </row>
    <row r="233" spans="6:10" s="83" customFormat="1" ht="15" customHeight="1">
      <c r="F233" s="62"/>
      <c r="G233" s="100"/>
      <c r="H233" s="146" t="s">
        <v>184</v>
      </c>
      <c r="I233" s="121">
        <f>+I133</f>
        <v>780525.262369</v>
      </c>
      <c r="J233" s="54"/>
    </row>
    <row r="234" spans="6:10" s="83" customFormat="1" ht="15" customHeight="1">
      <c r="F234" s="62"/>
      <c r="G234" s="100"/>
      <c r="H234" s="146" t="s">
        <v>185</v>
      </c>
      <c r="I234" s="121">
        <f>+I138</f>
        <v>693465.37567700457</v>
      </c>
      <c r="J234" s="54"/>
    </row>
    <row r="235" spans="6:10" s="83" customFormat="1" ht="15" customHeight="1">
      <c r="F235" s="62"/>
      <c r="G235" s="100"/>
      <c r="H235" s="146" t="s">
        <v>319</v>
      </c>
      <c r="I235" s="121">
        <f>+I141</f>
        <v>0</v>
      </c>
      <c r="J235" s="54"/>
    </row>
    <row r="236" spans="6:10" s="83" customFormat="1" ht="15" customHeight="1" thickBot="1">
      <c r="F236" s="62"/>
      <c r="G236" s="100"/>
      <c r="H236" s="146" t="s">
        <v>321</v>
      </c>
      <c r="I236" s="121">
        <f>+I148</f>
        <v>-309744.80164418113</v>
      </c>
      <c r="J236" s="54"/>
    </row>
    <row r="237" spans="6:10" s="83" customFormat="1" ht="15" customHeight="1" thickBot="1">
      <c r="F237" s="62"/>
      <c r="G237" s="100"/>
      <c r="H237" s="147"/>
      <c r="I237" s="120">
        <f>SUM(I232:I236)</f>
        <v>-58832525.823523045</v>
      </c>
      <c r="J237" s="64"/>
    </row>
    <row r="238" spans="6:10" s="83" customFormat="1" ht="15" customHeight="1">
      <c r="F238" s="62"/>
      <c r="G238" s="100"/>
      <c r="H238" s="148"/>
      <c r="I238" s="49"/>
      <c r="J238" s="64"/>
    </row>
    <row r="239" spans="6:10" s="83" customFormat="1" ht="15" customHeight="1">
      <c r="F239" s="62"/>
      <c r="G239" s="122"/>
      <c r="H239" s="149" t="s">
        <v>186</v>
      </c>
      <c r="I239" s="76">
        <f>+I231-I237</f>
        <v>1657191.4635230824</v>
      </c>
      <c r="J239" s="54"/>
    </row>
    <row r="241" spans="8:9" s="83" customFormat="1" ht="15" customHeight="1">
      <c r="H241" s="150" t="s">
        <v>320</v>
      </c>
      <c r="I241" s="123">
        <f>+I239-N1</f>
        <v>-7.4505805969238281E-9</v>
      </c>
    </row>
  </sheetData>
  <printOptions horizontalCentered="1" gridLines="1"/>
  <pageMargins left="0" right="0" top="0.75" bottom="0.65" header="0.5" footer="0.2"/>
  <pageSetup scale="50" fitToHeight="0" orientation="landscape" r:id="rId1"/>
  <headerFooter alignWithMargins="0">
    <oddFooter>&amp;CPage &amp;P of &amp;N&amp;R&amp;D  &amp;T</oddFooter>
  </headerFooter>
  <rowBreaks count="1" manualBreakCount="1">
    <brk id="208" max="3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8E77-F4BB-4426-8177-CA3B4396C79C}">
  <sheetPr>
    <tabColor rgb="FF00B0F0"/>
  </sheetPr>
  <dimension ref="A1:N30"/>
  <sheetViews>
    <sheetView zoomScale="80" zoomScaleNormal="80" workbookViewId="0">
      <selection sqref="A1:F1"/>
    </sheetView>
  </sheetViews>
  <sheetFormatPr defaultRowHeight="13.2"/>
  <cols>
    <col min="1" max="1" width="10.5546875" customWidth="1"/>
    <col min="2" max="2" width="27.6640625" customWidth="1"/>
    <col min="3" max="8" width="14.5546875" customWidth="1"/>
    <col min="9" max="10" width="16.109375" customWidth="1"/>
    <col min="11" max="13" width="14.5546875" customWidth="1"/>
    <col min="14" max="14" width="12.88671875" customWidth="1"/>
  </cols>
  <sheetData>
    <row r="1" spans="1:14">
      <c r="A1" s="1148" t="s">
        <v>1847</v>
      </c>
      <c r="B1" s="1148"/>
      <c r="C1" s="1148"/>
      <c r="D1" s="1148"/>
      <c r="E1" s="1148"/>
      <c r="F1" s="1148"/>
      <c r="G1" s="1148"/>
      <c r="H1" s="1148"/>
      <c r="I1" s="1148"/>
      <c r="J1" s="1148"/>
      <c r="K1" s="1148"/>
      <c r="L1" s="1148"/>
      <c r="M1" s="1148"/>
    </row>
    <row r="2" spans="1:14">
      <c r="A2" s="1148" t="s">
        <v>1928</v>
      </c>
      <c r="B2" s="1148"/>
      <c r="C2" s="1148"/>
      <c r="D2" s="1148"/>
      <c r="E2" s="1148"/>
      <c r="F2" s="1148"/>
      <c r="G2" s="1148"/>
      <c r="H2" s="1148"/>
      <c r="I2" s="1148"/>
      <c r="J2" s="1148"/>
      <c r="K2" s="1148"/>
      <c r="L2" s="1148"/>
      <c r="M2" s="1148"/>
    </row>
    <row r="3" spans="1:14">
      <c r="A3" s="1148" t="e">
        <f>#REF!</f>
        <v>#REF!</v>
      </c>
      <c r="B3" s="1148"/>
      <c r="C3" s="1148"/>
      <c r="D3" s="1148"/>
      <c r="E3" s="1148"/>
      <c r="F3" s="1148"/>
      <c r="G3" s="1148"/>
      <c r="H3" s="1148"/>
      <c r="I3" s="1148"/>
      <c r="J3" s="1148"/>
      <c r="K3" s="1148"/>
      <c r="L3" s="1148"/>
      <c r="M3" s="1148"/>
    </row>
    <row r="4" spans="1:14">
      <c r="C4" s="991"/>
      <c r="D4" s="991"/>
      <c r="E4" s="991"/>
      <c r="F4" s="991"/>
      <c r="G4" s="991"/>
      <c r="H4" s="991"/>
      <c r="I4" s="991"/>
      <c r="J4" s="991"/>
      <c r="K4" s="991"/>
      <c r="L4" s="991"/>
    </row>
    <row r="5" spans="1:14" ht="52.8">
      <c r="C5" s="992" t="s">
        <v>998</v>
      </c>
      <c r="D5" s="992" t="s">
        <v>1841</v>
      </c>
      <c r="E5" s="992" t="s">
        <v>1858</v>
      </c>
      <c r="F5" s="993" t="s">
        <v>1848</v>
      </c>
      <c r="G5" s="993" t="s">
        <v>1879</v>
      </c>
      <c r="H5" s="993" t="s">
        <v>1849</v>
      </c>
      <c r="I5" s="993" t="s">
        <v>1942</v>
      </c>
      <c r="J5" s="993" t="s">
        <v>1857</v>
      </c>
      <c r="K5" s="992" t="s">
        <v>1842</v>
      </c>
      <c r="L5" s="993" t="s">
        <v>1878</v>
      </c>
      <c r="M5" s="992" t="s">
        <v>1843</v>
      </c>
    </row>
    <row r="9" spans="1:14">
      <c r="A9" s="998" t="str">
        <f>'Rev Exp'!F10</f>
        <v>480/481/482</v>
      </c>
      <c r="B9" s="243" t="str">
        <f>'Rev Exp'!G10</f>
        <v>Net Sales to Ultimate Customers</v>
      </c>
      <c r="C9" s="243">
        <f>'Rev Exp'!H10-C10</f>
        <v>59213643.240000024</v>
      </c>
      <c r="D9" s="243"/>
      <c r="E9" s="243"/>
      <c r="F9" s="243">
        <f>'Rev Exp'!K10</f>
        <v>3202922</v>
      </c>
      <c r="G9" s="243">
        <v>477630</v>
      </c>
      <c r="H9" s="243"/>
      <c r="I9" s="243">
        <f>SUM(C9:H9)</f>
        <v>62894195.240000024</v>
      </c>
      <c r="J9" s="243">
        <f>-2374</f>
        <v>-2374</v>
      </c>
      <c r="K9" s="243">
        <v>-148865</v>
      </c>
      <c r="L9" s="243">
        <f>SUM(I9:K9)</f>
        <v>62742956.240000024</v>
      </c>
      <c r="M9" s="243">
        <f>L9-'Rev Exp'!J10</f>
        <v>0</v>
      </c>
    </row>
    <row r="10" spans="1:14">
      <c r="A10" s="998"/>
      <c r="B10" s="472" t="s">
        <v>1765</v>
      </c>
      <c r="C10" s="243">
        <f>-'Rev Exp'!AJ10</f>
        <v>58434729.569999963</v>
      </c>
      <c r="D10" s="243"/>
      <c r="E10" s="243"/>
      <c r="F10" s="243"/>
      <c r="G10" s="243"/>
      <c r="H10" s="243">
        <f>'Rev Exp'!AJ10</f>
        <v>-58434729.569999963</v>
      </c>
      <c r="I10" s="243">
        <f>SUM(C10:H10)</f>
        <v>0</v>
      </c>
      <c r="J10" s="243"/>
      <c r="K10" s="243"/>
      <c r="L10" s="243">
        <f>SUM(I10:K10)</f>
        <v>0</v>
      </c>
      <c r="M10" s="243">
        <f>L10-'Rev Exp'!J25</f>
        <v>5.9999965131282806E-2</v>
      </c>
      <c r="N10" s="243"/>
    </row>
    <row r="11" spans="1:14">
      <c r="A11" s="243">
        <f>'Rev Exp'!F11</f>
        <v>483</v>
      </c>
      <c r="B11" s="243" t="str">
        <f>'Rev Exp'!G11</f>
        <v>Sales for Resale</v>
      </c>
      <c r="C11" s="472">
        <f>'Rev Exp'!H11</f>
        <v>371072.94</v>
      </c>
      <c r="D11" s="243">
        <f>'Rev Exp'!AL11</f>
        <v>-371073</v>
      </c>
      <c r="E11" s="243"/>
      <c r="F11" s="243"/>
      <c r="G11" s="243"/>
      <c r="H11" s="243"/>
      <c r="I11" s="243">
        <f>SUM(C11:H11)</f>
        <v>-5.9999999997671694E-2</v>
      </c>
      <c r="J11" s="243"/>
      <c r="K11" s="243"/>
      <c r="L11" s="243">
        <f>SUM(I11:K11)</f>
        <v>-5.9999999997671694E-2</v>
      </c>
      <c r="M11" s="243">
        <f>L11-'Rev Exp'!J11</f>
        <v>0</v>
      </c>
    </row>
    <row r="12" spans="1:14">
      <c r="A12" s="243">
        <f>'Rev Exp'!F12</f>
        <v>489</v>
      </c>
      <c r="B12" s="243" t="str">
        <f>'Rev Exp'!G12</f>
        <v>Transportation of Gas</v>
      </c>
      <c r="C12" s="349">
        <f>'Rev Exp'!H12</f>
        <v>5749636.4799999995</v>
      </c>
      <c r="D12" s="349"/>
      <c r="E12" s="349">
        <f>'Rev Exp'!V12+'Rev Exp'!W12</f>
        <v>-823491.92999999993</v>
      </c>
      <c r="F12" s="349"/>
      <c r="G12" s="349"/>
      <c r="H12" s="349"/>
      <c r="I12" s="349">
        <f>SUM(C12:H12)</f>
        <v>4926144.55</v>
      </c>
      <c r="J12" s="349"/>
      <c r="K12" s="349"/>
      <c r="L12" s="349">
        <f>SUM(I12:K12)</f>
        <v>4926144.55</v>
      </c>
      <c r="M12" s="349">
        <f>L12-'Rev Exp'!J12</f>
        <v>0</v>
      </c>
    </row>
    <row r="13" spans="1:14">
      <c r="B13" t="s">
        <v>1924</v>
      </c>
      <c r="C13" s="243">
        <f t="shared" ref="C13:M13" si="0">SUM(C9:C12)</f>
        <v>123769082.22999999</v>
      </c>
      <c r="D13" s="243">
        <f t="shared" si="0"/>
        <v>-371073</v>
      </c>
      <c r="E13" s="243">
        <f t="shared" si="0"/>
        <v>-823491.92999999993</v>
      </c>
      <c r="F13" s="243">
        <f t="shared" si="0"/>
        <v>3202922</v>
      </c>
      <c r="G13" s="243">
        <f t="shared" si="0"/>
        <v>477630</v>
      </c>
      <c r="H13" s="243">
        <f t="shared" si="0"/>
        <v>-58434729.569999963</v>
      </c>
      <c r="I13" s="243">
        <f t="shared" si="0"/>
        <v>67820339.730000019</v>
      </c>
      <c r="J13" s="243">
        <f t="shared" si="0"/>
        <v>-2374</v>
      </c>
      <c r="K13" s="243">
        <f t="shared" si="0"/>
        <v>-148865</v>
      </c>
      <c r="L13" s="243">
        <f t="shared" si="0"/>
        <v>67669100.730000019</v>
      </c>
      <c r="M13" s="243">
        <f t="shared" si="0"/>
        <v>5.9999965131282806E-2</v>
      </c>
      <c r="N13" t="s">
        <v>1844</v>
      </c>
    </row>
    <row r="16" spans="1:14">
      <c r="B16" s="994"/>
      <c r="C16" s="985"/>
      <c r="D16" s="251"/>
      <c r="E16" s="251"/>
      <c r="F16" s="251"/>
      <c r="G16" s="251"/>
      <c r="H16" s="251"/>
      <c r="I16" s="251"/>
      <c r="J16" s="1022"/>
      <c r="K16" s="1023" t="s">
        <v>1845</v>
      </c>
      <c r="L16" s="1024"/>
    </row>
    <row r="17" spans="2:12">
      <c r="B17" s="994"/>
      <c r="C17" s="399"/>
      <c r="D17" s="251"/>
      <c r="E17" s="251"/>
      <c r="F17" s="251"/>
      <c r="G17" s="251"/>
      <c r="H17" s="251"/>
      <c r="I17" s="251"/>
      <c r="J17" s="1025"/>
      <c r="K17" s="1026" t="s">
        <v>1846</v>
      </c>
      <c r="L17" s="1027">
        <v>67665951.509218872</v>
      </c>
    </row>
    <row r="18" spans="2:12">
      <c r="B18" s="994"/>
      <c r="C18" s="985"/>
      <c r="D18" s="251"/>
      <c r="E18" s="251"/>
      <c r="F18" s="251"/>
      <c r="G18" s="251"/>
      <c r="H18" s="251"/>
      <c r="I18" s="251"/>
      <c r="J18" s="1025"/>
      <c r="K18" s="994"/>
      <c r="L18" s="1028"/>
    </row>
    <row r="19" spans="2:12">
      <c r="B19" s="994"/>
      <c r="C19" s="985"/>
      <c r="D19" s="996"/>
      <c r="E19" s="420"/>
      <c r="F19" s="420"/>
      <c r="G19" s="420"/>
      <c r="H19" s="420"/>
      <c r="I19" s="420"/>
      <c r="J19" s="1029"/>
      <c r="K19" s="994" t="s">
        <v>1882</v>
      </c>
      <c r="L19" s="1027">
        <f>SUM(L17:L18)</f>
        <v>67665951.509218872</v>
      </c>
    </row>
    <row r="20" spans="2:12">
      <c r="B20" s="994"/>
      <c r="C20" s="985"/>
      <c r="D20" s="399"/>
      <c r="E20" s="399"/>
      <c r="F20" s="997"/>
      <c r="G20" s="997"/>
      <c r="H20" s="997"/>
      <c r="I20" s="997"/>
      <c r="J20" s="1030"/>
      <c r="K20" s="251"/>
      <c r="L20" s="1027"/>
    </row>
    <row r="21" spans="2:12">
      <c r="B21" s="994"/>
      <c r="C21" s="995"/>
      <c r="D21" s="251"/>
      <c r="E21" s="251"/>
      <c r="F21" s="997"/>
      <c r="G21" s="997"/>
      <c r="H21" s="997"/>
      <c r="I21" s="997"/>
      <c r="J21" s="1030"/>
      <c r="K21" s="1031"/>
      <c r="L21" s="1041">
        <f>L13</f>
        <v>67669100.730000019</v>
      </c>
    </row>
    <row r="22" spans="2:12" ht="13.8" thickBot="1">
      <c r="J22" s="1032"/>
      <c r="K22" s="1042" t="s">
        <v>3</v>
      </c>
      <c r="L22" s="1139">
        <f>L19-L21</f>
        <v>-3149.22078114748</v>
      </c>
    </row>
    <row r="23" spans="2:12" ht="14.4" thickTop="1" thickBot="1">
      <c r="J23" s="1033"/>
      <c r="K23" s="1034"/>
      <c r="L23" s="1035"/>
    </row>
    <row r="24" spans="2:12">
      <c r="L24" s="509"/>
    </row>
    <row r="26" spans="2:12">
      <c r="B26" s="999" t="s">
        <v>1856</v>
      </c>
      <c r="C26" s="1007" t="s">
        <v>1850</v>
      </c>
      <c r="D26" s="1007" t="s">
        <v>1851</v>
      </c>
      <c r="E26" s="1007" t="s">
        <v>1852</v>
      </c>
      <c r="F26" s="1007" t="s">
        <v>1853</v>
      </c>
      <c r="G26" s="1007" t="s">
        <v>1854</v>
      </c>
      <c r="H26" s="1008" t="s">
        <v>16</v>
      </c>
      <c r="I26" s="1008" t="s">
        <v>1881</v>
      </c>
      <c r="K26" s="473"/>
    </row>
    <row r="27" spans="2:12">
      <c r="B27" s="471" t="s">
        <v>1884</v>
      </c>
      <c r="C27" s="1001">
        <v>67333728.742699996</v>
      </c>
      <c r="D27" s="1001">
        <v>-11654.022422492504</v>
      </c>
      <c r="E27" s="1001">
        <v>158253.92847453058</v>
      </c>
      <c r="F27" s="1001">
        <v>-292007.57657283545</v>
      </c>
      <c r="G27" s="1001"/>
      <c r="H27" s="1002">
        <f>SUM(C27:G27)</f>
        <v>67188321.072179198</v>
      </c>
      <c r="I27" s="1037">
        <f>H27-C27</f>
        <v>-145407.67052079737</v>
      </c>
      <c r="J27" s="991" t="s">
        <v>1880</v>
      </c>
    </row>
    <row r="28" spans="2:12">
      <c r="B28" s="1000" t="s">
        <v>1765</v>
      </c>
      <c r="C28" s="1001">
        <v>58541222.764475994</v>
      </c>
      <c r="D28" s="1001">
        <v>74952.802700005472</v>
      </c>
      <c r="E28" s="1001">
        <v>229346.56956172734</v>
      </c>
      <c r="F28" s="1001">
        <v>-564265.21589145809</v>
      </c>
      <c r="G28" s="1001"/>
      <c r="H28" s="1002">
        <f>SUM(C28:G28)</f>
        <v>58281256.920846269</v>
      </c>
      <c r="I28" s="1038">
        <f>H28-C28</f>
        <v>-259965.84362972528</v>
      </c>
      <c r="J28" s="1036" t="s">
        <v>1765</v>
      </c>
    </row>
    <row r="29" spans="2:12">
      <c r="B29" s="1000" t="s">
        <v>1855</v>
      </c>
      <c r="C29" s="1006">
        <v>-261.29999999999944</v>
      </c>
      <c r="D29" s="1004"/>
      <c r="E29" s="1004"/>
      <c r="F29" s="1004"/>
      <c r="G29" s="1004">
        <v>-3456.6633333333339</v>
      </c>
      <c r="H29" s="1005">
        <f>SUM(C29:G29)</f>
        <v>-3717.9633333333331</v>
      </c>
      <c r="I29" s="1039">
        <f>H29-C29</f>
        <v>-3456.6633333333339</v>
      </c>
      <c r="J29" s="991" t="s">
        <v>1880</v>
      </c>
    </row>
    <row r="30" spans="2:12">
      <c r="B30" s="1003" t="s">
        <v>16</v>
      </c>
      <c r="C30" s="1004">
        <v>125874690.20717598</v>
      </c>
      <c r="D30" s="1004">
        <v>63298.780277512968</v>
      </c>
      <c r="E30" s="1004">
        <v>387600.49803625792</v>
      </c>
      <c r="F30" s="1004">
        <v>-856272.79246429354</v>
      </c>
      <c r="G30" s="1004">
        <v>-3456.6633333333339</v>
      </c>
      <c r="H30" s="1004">
        <f>SUM(H27:H29)</f>
        <v>125465860.02969213</v>
      </c>
      <c r="I30" s="1040">
        <f>H30-C30</f>
        <v>-408830.17748385668</v>
      </c>
      <c r="J30" s="1001"/>
    </row>
  </sheetData>
  <mergeCells count="3">
    <mergeCell ref="A1:M1"/>
    <mergeCell ref="A2:M2"/>
    <mergeCell ref="A3:M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9">
    <tabColor rgb="FF00B0F0"/>
    <pageSetUpPr fitToPage="1"/>
  </sheetPr>
  <dimension ref="A1:G166"/>
  <sheetViews>
    <sheetView topLeftCell="B1" zoomScale="80" zoomScaleNormal="80" workbookViewId="0">
      <selection sqref="A1:F1"/>
    </sheetView>
  </sheetViews>
  <sheetFormatPr defaultRowHeight="13.2"/>
  <cols>
    <col min="1" max="1" width="57.33203125" hidden="1" customWidth="1"/>
    <col min="2" max="2" width="57.88671875" customWidth="1"/>
    <col min="3" max="3" width="36" customWidth="1"/>
    <col min="4" max="4" width="19.6640625" customWidth="1"/>
    <col min="5" max="5" width="16.33203125" bestFit="1" customWidth="1"/>
    <col min="6" max="6" width="12.109375" customWidth="1"/>
    <col min="7" max="7" width="15.44140625" customWidth="1"/>
    <col min="8" max="8" width="12.88671875" customWidth="1"/>
  </cols>
  <sheetData>
    <row r="1" spans="2:7">
      <c r="D1" s="473" t="s">
        <v>1607</v>
      </c>
      <c r="G1" s="323" t="s">
        <v>556</v>
      </c>
    </row>
    <row r="2" spans="2:7">
      <c r="G2" s="323" t="s">
        <v>628</v>
      </c>
    </row>
    <row r="3" spans="2:7">
      <c r="B3" s="474" t="s">
        <v>366</v>
      </c>
      <c r="G3" s="323" t="s">
        <v>629</v>
      </c>
    </row>
    <row r="4" spans="2:7">
      <c r="B4" s="474" t="s">
        <v>1606</v>
      </c>
    </row>
    <row r="5" spans="2:7">
      <c r="B5" s="475" t="s">
        <v>1608</v>
      </c>
    </row>
    <row r="6" spans="2:7" ht="13.8" thickBot="1">
      <c r="B6" s="919" t="s">
        <v>1607</v>
      </c>
      <c r="C6" s="477"/>
      <c r="D6" s="477"/>
      <c r="E6" s="477"/>
    </row>
    <row r="7" spans="2:7" ht="13.8" thickTop="1"/>
    <row r="8" spans="2:7" ht="14.4">
      <c r="B8" t="s">
        <v>367</v>
      </c>
      <c r="C8" t="s">
        <v>367</v>
      </c>
      <c r="D8" t="s">
        <v>367</v>
      </c>
      <c r="E8" s="478" t="s">
        <v>1542</v>
      </c>
    </row>
    <row r="9" spans="2:7" ht="14.4">
      <c r="B9" s="479" t="s">
        <v>449</v>
      </c>
      <c r="C9" s="479" t="s">
        <v>181</v>
      </c>
      <c r="D9" s="479" t="s">
        <v>181</v>
      </c>
      <c r="E9" s="480">
        <v>0</v>
      </c>
    </row>
    <row r="10" spans="2:7">
      <c r="B10" s="481" t="s">
        <v>1609</v>
      </c>
      <c r="C10" s="481" t="s">
        <v>450</v>
      </c>
      <c r="D10" s="481" t="s">
        <v>451</v>
      </c>
      <c r="E10" s="482">
        <v>83646674.38000001</v>
      </c>
      <c r="G10" s="46"/>
    </row>
    <row r="11" spans="2:7">
      <c r="B11" s="481" t="s">
        <v>1610</v>
      </c>
      <c r="C11" s="481" t="s">
        <v>450</v>
      </c>
      <c r="D11" s="481" t="s">
        <v>451</v>
      </c>
      <c r="E11" s="482">
        <v>29725731.079999998</v>
      </c>
      <c r="F11" s="243"/>
      <c r="G11" s="71"/>
    </row>
    <row r="12" spans="2:7">
      <c r="B12" s="481" t="s">
        <v>1611</v>
      </c>
      <c r="C12" s="481" t="s">
        <v>450</v>
      </c>
      <c r="D12" s="481" t="s">
        <v>451</v>
      </c>
      <c r="E12" s="482">
        <v>4275967.3499999996</v>
      </c>
      <c r="F12" s="243"/>
      <c r="G12" s="71"/>
    </row>
    <row r="13" spans="2:7" ht="14.4">
      <c r="B13" s="479" t="s">
        <v>1612</v>
      </c>
      <c r="C13" s="479" t="s">
        <v>450</v>
      </c>
      <c r="D13" s="479" t="s">
        <v>451</v>
      </c>
      <c r="E13" s="920">
        <v>117648372.80999999</v>
      </c>
      <c r="F13" s="243"/>
      <c r="G13" s="66"/>
    </row>
    <row r="14" spans="2:7">
      <c r="B14" s="481" t="s">
        <v>1613</v>
      </c>
      <c r="C14" s="481" t="s">
        <v>450</v>
      </c>
      <c r="D14" s="481" t="s">
        <v>451</v>
      </c>
      <c r="E14" s="482">
        <v>371072.94</v>
      </c>
      <c r="F14" s="243"/>
      <c r="G14" s="71"/>
    </row>
    <row r="15" spans="2:7">
      <c r="B15" s="481" t="s">
        <v>1614</v>
      </c>
      <c r="C15" s="481" t="s">
        <v>450</v>
      </c>
      <c r="D15" s="481" t="s">
        <v>451</v>
      </c>
      <c r="E15" s="482">
        <v>244412.02000000002</v>
      </c>
      <c r="G15" s="71"/>
    </row>
    <row r="16" spans="2:7">
      <c r="B16" s="481" t="s">
        <v>1615</v>
      </c>
      <c r="C16" s="481" t="s">
        <v>450</v>
      </c>
      <c r="D16" s="481" t="s">
        <v>451</v>
      </c>
      <c r="E16" s="482">
        <v>750953.29</v>
      </c>
      <c r="F16" s="243"/>
      <c r="G16" s="71"/>
    </row>
    <row r="17" spans="2:6">
      <c r="B17" s="481" t="s">
        <v>1616</v>
      </c>
      <c r="C17" s="481" t="s">
        <v>450</v>
      </c>
      <c r="D17" s="481" t="s">
        <v>451</v>
      </c>
      <c r="E17" s="482">
        <v>5749636.4799999995</v>
      </c>
      <c r="F17" s="243"/>
    </row>
    <row r="18" spans="2:6">
      <c r="B18" s="481" t="s">
        <v>1617</v>
      </c>
      <c r="C18" s="481" t="s">
        <v>450</v>
      </c>
      <c r="D18" s="481" t="s">
        <v>451</v>
      </c>
      <c r="E18" s="482">
        <v>1396598.76</v>
      </c>
      <c r="F18" s="243"/>
    </row>
    <row r="19" spans="2:6" ht="14.4">
      <c r="B19" s="479" t="s">
        <v>1618</v>
      </c>
      <c r="C19" s="479" t="s">
        <v>450</v>
      </c>
      <c r="D19" s="479" t="s">
        <v>451</v>
      </c>
      <c r="E19" s="920">
        <v>8141600.5500000007</v>
      </c>
    </row>
    <row r="20" spans="2:6" ht="14.4">
      <c r="B20" s="479" t="s">
        <v>1619</v>
      </c>
      <c r="C20" s="479" t="s">
        <v>450</v>
      </c>
      <c r="D20" s="479" t="s">
        <v>451</v>
      </c>
      <c r="E20" s="920">
        <v>126161046.30000001</v>
      </c>
    </row>
    <row r="21" spans="2:6" ht="14.4">
      <c r="B21" s="481" t="s">
        <v>181</v>
      </c>
      <c r="C21" s="481" t="s">
        <v>181</v>
      </c>
      <c r="D21" s="481" t="s">
        <v>181</v>
      </c>
      <c r="E21" s="480">
        <v>0</v>
      </c>
      <c r="F21" s="243"/>
    </row>
    <row r="22" spans="2:6" ht="14.4">
      <c r="B22" s="479" t="s">
        <v>452</v>
      </c>
      <c r="C22" s="479" t="s">
        <v>181</v>
      </c>
      <c r="D22" s="479" t="s">
        <v>181</v>
      </c>
      <c r="E22" s="480">
        <v>0</v>
      </c>
      <c r="F22" s="243"/>
    </row>
    <row r="23" spans="2:6">
      <c r="B23" s="481" t="s">
        <v>1620</v>
      </c>
      <c r="C23" s="481" t="s">
        <v>450</v>
      </c>
      <c r="D23" s="481" t="s">
        <v>451</v>
      </c>
      <c r="E23" s="482">
        <v>59994739.449999996</v>
      </c>
    </row>
    <row r="24" spans="2:6">
      <c r="B24" s="481" t="s">
        <v>1621</v>
      </c>
      <c r="C24" s="481" t="s">
        <v>450</v>
      </c>
      <c r="D24" s="481" t="s">
        <v>451</v>
      </c>
      <c r="E24" s="482">
        <v>231994.91</v>
      </c>
    </row>
    <row r="25" spans="2:6">
      <c r="B25" s="481" t="s">
        <v>1622</v>
      </c>
      <c r="C25" s="481" t="s">
        <v>450</v>
      </c>
      <c r="D25" s="481" t="s">
        <v>451</v>
      </c>
      <c r="E25" s="482">
        <v>14207.4</v>
      </c>
    </row>
    <row r="26" spans="2:6">
      <c r="B26" s="481" t="s">
        <v>1623</v>
      </c>
      <c r="C26" s="481" t="s">
        <v>450</v>
      </c>
      <c r="D26" s="481" t="s">
        <v>451</v>
      </c>
      <c r="E26" s="482">
        <v>204700.61000000002</v>
      </c>
    </row>
    <row r="27" spans="2:6">
      <c r="B27" s="481" t="s">
        <v>1624</v>
      </c>
      <c r="C27" s="481" t="s">
        <v>450</v>
      </c>
      <c r="D27" s="481" t="s">
        <v>451</v>
      </c>
      <c r="E27" s="482">
        <v>69730.259999999995</v>
      </c>
    </row>
    <row r="28" spans="2:6">
      <c r="B28" s="481" t="s">
        <v>1625</v>
      </c>
      <c r="C28" s="481" t="s">
        <v>450</v>
      </c>
      <c r="D28" s="481" t="s">
        <v>451</v>
      </c>
      <c r="E28" s="482">
        <v>2304754</v>
      </c>
    </row>
    <row r="29" spans="2:6">
      <c r="B29" s="481" t="s">
        <v>1626</v>
      </c>
      <c r="C29" s="481" t="s">
        <v>450</v>
      </c>
      <c r="D29" s="481" t="s">
        <v>451</v>
      </c>
      <c r="E29" s="482">
        <v>421498.74000000005</v>
      </c>
    </row>
    <row r="30" spans="2:6">
      <c r="B30" s="481" t="s">
        <v>1627</v>
      </c>
      <c r="C30" s="481" t="s">
        <v>450</v>
      </c>
      <c r="D30" s="481" t="s">
        <v>451</v>
      </c>
      <c r="E30" s="482">
        <v>150178.63000000003</v>
      </c>
    </row>
    <row r="31" spans="2:6">
      <c r="B31" s="481" t="s">
        <v>1628</v>
      </c>
      <c r="C31" s="481" t="s">
        <v>450</v>
      </c>
      <c r="D31" s="481" t="s">
        <v>451</v>
      </c>
      <c r="E31" s="482">
        <v>76488.78</v>
      </c>
    </row>
    <row r="32" spans="2:6">
      <c r="B32" s="481" t="s">
        <v>1629</v>
      </c>
      <c r="C32" s="481" t="s">
        <v>450</v>
      </c>
      <c r="D32" s="481" t="s">
        <v>451</v>
      </c>
      <c r="E32" s="482">
        <v>1434448.78</v>
      </c>
    </row>
    <row r="33" spans="2:5">
      <c r="B33" s="481" t="s">
        <v>1630</v>
      </c>
      <c r="C33" s="481" t="s">
        <v>450</v>
      </c>
      <c r="D33" s="481" t="s">
        <v>451</v>
      </c>
      <c r="E33" s="482">
        <v>1317317.9200000002</v>
      </c>
    </row>
    <row r="34" spans="2:5">
      <c r="B34" s="481" t="s">
        <v>1631</v>
      </c>
      <c r="C34" s="481" t="s">
        <v>450</v>
      </c>
      <c r="D34" s="481" t="s">
        <v>451</v>
      </c>
      <c r="E34" s="482">
        <v>2340730.92</v>
      </c>
    </row>
    <row r="35" spans="2:5">
      <c r="B35" s="481" t="s">
        <v>1632</v>
      </c>
      <c r="C35" s="481" t="s">
        <v>450</v>
      </c>
      <c r="D35" s="481" t="s">
        <v>451</v>
      </c>
      <c r="E35" s="482">
        <v>21291.199999999997</v>
      </c>
    </row>
    <row r="36" spans="2:5">
      <c r="B36" s="481" t="s">
        <v>1633</v>
      </c>
      <c r="C36" s="481" t="s">
        <v>450</v>
      </c>
      <c r="D36" s="481" t="s">
        <v>451</v>
      </c>
      <c r="E36" s="482">
        <v>213416.61000000002</v>
      </c>
    </row>
    <row r="37" spans="2:5">
      <c r="B37" s="481" t="s">
        <v>1634</v>
      </c>
      <c r="C37" s="481" t="s">
        <v>450</v>
      </c>
      <c r="D37" s="481" t="s">
        <v>451</v>
      </c>
      <c r="E37" s="482">
        <v>551888.12</v>
      </c>
    </row>
    <row r="38" spans="2:5">
      <c r="B38" s="481" t="s">
        <v>1635</v>
      </c>
      <c r="C38" s="481" t="s">
        <v>450</v>
      </c>
      <c r="D38" s="481" t="s">
        <v>451</v>
      </c>
      <c r="E38" s="482">
        <v>7390.19</v>
      </c>
    </row>
    <row r="39" spans="2:5">
      <c r="B39" s="481" t="s">
        <v>1636</v>
      </c>
      <c r="C39" s="481" t="s">
        <v>450</v>
      </c>
      <c r="D39" s="481" t="s">
        <v>451</v>
      </c>
      <c r="E39" s="482">
        <v>211494.80000000005</v>
      </c>
    </row>
    <row r="40" spans="2:5">
      <c r="B40" s="481" t="s">
        <v>1637</v>
      </c>
      <c r="C40" s="481" t="s">
        <v>450</v>
      </c>
      <c r="D40" s="481" t="s">
        <v>451</v>
      </c>
      <c r="E40" s="482">
        <v>289936.96000000002</v>
      </c>
    </row>
    <row r="41" spans="2:5">
      <c r="B41" s="481" t="s">
        <v>1638</v>
      </c>
      <c r="C41" s="481" t="s">
        <v>450</v>
      </c>
      <c r="D41" s="481" t="s">
        <v>451</v>
      </c>
      <c r="E41" s="482">
        <v>85079.290000000008</v>
      </c>
    </row>
    <row r="42" spans="2:5">
      <c r="B42" s="481" t="s">
        <v>1639</v>
      </c>
      <c r="C42" s="481" t="s">
        <v>450</v>
      </c>
      <c r="D42" s="481" t="s">
        <v>451</v>
      </c>
      <c r="E42" s="482">
        <v>90911.52</v>
      </c>
    </row>
    <row r="43" spans="2:5">
      <c r="B43" s="481" t="s">
        <v>1640</v>
      </c>
      <c r="C43" s="481" t="s">
        <v>450</v>
      </c>
      <c r="D43" s="481" t="s">
        <v>451</v>
      </c>
      <c r="E43" s="482">
        <v>108560.73000000001</v>
      </c>
    </row>
    <row r="44" spans="2:5">
      <c r="B44" s="481" t="s">
        <v>1641</v>
      </c>
      <c r="C44" s="481" t="s">
        <v>450</v>
      </c>
      <c r="D44" s="481" t="s">
        <v>451</v>
      </c>
      <c r="E44" s="482">
        <v>5724166.54</v>
      </c>
    </row>
    <row r="45" spans="2:5">
      <c r="B45" s="481" t="s">
        <v>1642</v>
      </c>
      <c r="C45" s="481" t="s">
        <v>450</v>
      </c>
      <c r="D45" s="481" t="s">
        <v>451</v>
      </c>
      <c r="E45" s="482">
        <v>298910.24</v>
      </c>
    </row>
    <row r="46" spans="2:5">
      <c r="B46" s="481" t="s">
        <v>1643</v>
      </c>
      <c r="C46" s="481" t="s">
        <v>450</v>
      </c>
      <c r="D46" s="481" t="s">
        <v>451</v>
      </c>
      <c r="E46" s="482">
        <v>57969.98</v>
      </c>
    </row>
    <row r="47" spans="2:5">
      <c r="B47" s="481" t="s">
        <v>1644</v>
      </c>
      <c r="C47" s="481" t="s">
        <v>450</v>
      </c>
      <c r="D47" s="481" t="s">
        <v>451</v>
      </c>
      <c r="E47" s="482">
        <v>371903.09</v>
      </c>
    </row>
    <row r="48" spans="2:5">
      <c r="B48" s="481" t="s">
        <v>1645</v>
      </c>
      <c r="C48" s="481" t="s">
        <v>450</v>
      </c>
      <c r="D48" s="481" t="s">
        <v>451</v>
      </c>
      <c r="E48" s="482">
        <v>25.880000000000003</v>
      </c>
    </row>
    <row r="49" spans="2:5">
      <c r="B49" s="481" t="s">
        <v>1646</v>
      </c>
      <c r="C49" s="481" t="s">
        <v>450</v>
      </c>
      <c r="D49" s="481" t="s">
        <v>451</v>
      </c>
      <c r="E49" s="482">
        <v>5743326.5900000008</v>
      </c>
    </row>
    <row r="50" spans="2:5" ht="19.350000000000001" customHeight="1">
      <c r="B50" s="481" t="s">
        <v>1647</v>
      </c>
      <c r="C50" s="481" t="s">
        <v>450</v>
      </c>
      <c r="D50" s="481" t="s">
        <v>451</v>
      </c>
      <c r="E50" s="482">
        <v>2286582.9200000004</v>
      </c>
    </row>
    <row r="51" spans="2:5">
      <c r="B51" s="481" t="s">
        <v>1648</v>
      </c>
      <c r="C51" s="481" t="s">
        <v>450</v>
      </c>
      <c r="D51" s="481" t="s">
        <v>451</v>
      </c>
      <c r="E51" s="482">
        <v>-1885097.02</v>
      </c>
    </row>
    <row r="52" spans="2:5">
      <c r="B52" s="481" t="s">
        <v>1649</v>
      </c>
      <c r="C52" s="481" t="s">
        <v>450</v>
      </c>
      <c r="D52" s="481" t="s">
        <v>451</v>
      </c>
      <c r="E52" s="482">
        <v>1459467.72</v>
      </c>
    </row>
    <row r="53" spans="2:5">
      <c r="B53" s="481" t="s">
        <v>1650</v>
      </c>
      <c r="C53" s="481" t="s">
        <v>450</v>
      </c>
      <c r="D53" s="481" t="s">
        <v>451</v>
      </c>
      <c r="E53" s="482">
        <v>25075.460000000003</v>
      </c>
    </row>
    <row r="54" spans="2:5">
      <c r="B54" s="481" t="s">
        <v>1651</v>
      </c>
      <c r="C54" s="481" t="s">
        <v>450</v>
      </c>
      <c r="D54" s="481" t="s">
        <v>451</v>
      </c>
      <c r="E54" s="482">
        <v>1361138.71</v>
      </c>
    </row>
    <row r="55" spans="2:5">
      <c r="B55" s="481" t="s">
        <v>1652</v>
      </c>
      <c r="C55" s="481" t="s">
        <v>450</v>
      </c>
      <c r="D55" s="481" t="s">
        <v>451</v>
      </c>
      <c r="E55" s="482">
        <v>2684056.41</v>
      </c>
    </row>
    <row r="56" spans="2:5">
      <c r="B56" s="481" t="s">
        <v>1653</v>
      </c>
      <c r="C56" s="481" t="s">
        <v>450</v>
      </c>
      <c r="D56" s="481" t="s">
        <v>451</v>
      </c>
      <c r="E56" s="482">
        <v>0</v>
      </c>
    </row>
    <row r="57" spans="2:5">
      <c r="B57" s="481" t="s">
        <v>1654</v>
      </c>
      <c r="C57" s="481" t="s">
        <v>450</v>
      </c>
      <c r="D57" s="481" t="s">
        <v>451</v>
      </c>
      <c r="E57" s="482">
        <v>27936.07</v>
      </c>
    </row>
    <row r="58" spans="2:5">
      <c r="B58" s="481" t="s">
        <v>1655</v>
      </c>
      <c r="C58" s="481" t="s">
        <v>450</v>
      </c>
      <c r="D58" s="481" t="s">
        <v>451</v>
      </c>
      <c r="E58" s="482">
        <v>464452.95</v>
      </c>
    </row>
    <row r="59" spans="2:5">
      <c r="B59" s="481" t="s">
        <v>1656</v>
      </c>
      <c r="C59" s="481" t="s">
        <v>450</v>
      </c>
      <c r="D59" s="481" t="s">
        <v>451</v>
      </c>
      <c r="E59" s="482">
        <v>198635.85000000003</v>
      </c>
    </row>
    <row r="60" spans="2:5">
      <c r="B60" s="481" t="s">
        <v>1657</v>
      </c>
      <c r="C60" s="481" t="s">
        <v>450</v>
      </c>
      <c r="D60" s="481" t="s">
        <v>451</v>
      </c>
      <c r="E60" s="482">
        <v>281</v>
      </c>
    </row>
    <row r="61" spans="2:5" ht="14.4">
      <c r="B61" s="479" t="s">
        <v>1925</v>
      </c>
      <c r="C61" s="479" t="s">
        <v>450</v>
      </c>
      <c r="D61" s="479" t="s">
        <v>451</v>
      </c>
      <c r="E61" s="920">
        <v>88959592.209999993</v>
      </c>
    </row>
    <row r="62" spans="2:5">
      <c r="B62" s="481" t="s">
        <v>50</v>
      </c>
      <c r="C62" s="481" t="s">
        <v>453</v>
      </c>
      <c r="D62" s="481" t="s">
        <v>451</v>
      </c>
      <c r="E62" s="482">
        <v>1426.1999999999998</v>
      </c>
    </row>
    <row r="63" spans="2:5">
      <c r="B63" s="481" t="s">
        <v>50</v>
      </c>
      <c r="C63" s="481" t="s">
        <v>454</v>
      </c>
      <c r="D63" s="481" t="s">
        <v>451</v>
      </c>
      <c r="E63" s="482">
        <v>328.67999999999995</v>
      </c>
    </row>
    <row r="64" spans="2:5">
      <c r="B64" s="481" t="s">
        <v>50</v>
      </c>
      <c r="C64" s="481" t="s">
        <v>455</v>
      </c>
      <c r="D64" s="481" t="s">
        <v>451</v>
      </c>
      <c r="E64" s="482">
        <v>339448.68000000005</v>
      </c>
    </row>
    <row r="65" spans="2:6">
      <c r="B65" s="481" t="s">
        <v>50</v>
      </c>
      <c r="C65" s="481" t="s">
        <v>456</v>
      </c>
      <c r="D65" s="481" t="s">
        <v>451</v>
      </c>
      <c r="E65" s="482">
        <v>53639.16</v>
      </c>
    </row>
    <row r="66" spans="2:6">
      <c r="B66" s="481" t="s">
        <v>50</v>
      </c>
      <c r="C66" s="481" t="s">
        <v>457</v>
      </c>
      <c r="D66" s="481" t="s">
        <v>451</v>
      </c>
      <c r="E66" s="482">
        <v>4405.92</v>
      </c>
      <c r="F66" s="243"/>
    </row>
    <row r="67" spans="2:6">
      <c r="B67" s="481" t="s">
        <v>50</v>
      </c>
      <c r="C67" s="481" t="s">
        <v>458</v>
      </c>
      <c r="D67" s="481" t="s">
        <v>451</v>
      </c>
      <c r="E67" s="482">
        <v>3543.8999999999996</v>
      </c>
    </row>
    <row r="68" spans="2:6">
      <c r="B68" s="481" t="s">
        <v>50</v>
      </c>
      <c r="C68" s="481" t="s">
        <v>459</v>
      </c>
      <c r="D68" s="481" t="s">
        <v>451</v>
      </c>
      <c r="E68" s="482">
        <v>2980.94</v>
      </c>
    </row>
    <row r="69" spans="2:6">
      <c r="B69" s="481" t="s">
        <v>50</v>
      </c>
      <c r="C69" s="481" t="s">
        <v>460</v>
      </c>
      <c r="D69" s="481" t="s">
        <v>451</v>
      </c>
      <c r="E69" s="482">
        <v>5097811.0599999996</v>
      </c>
    </row>
    <row r="70" spans="2:6">
      <c r="B70" s="481" t="s">
        <v>50</v>
      </c>
      <c r="C70" s="481" t="s">
        <v>461</v>
      </c>
      <c r="D70" s="481" t="s">
        <v>451</v>
      </c>
      <c r="E70" s="482">
        <v>155048.82000000004</v>
      </c>
    </row>
    <row r="71" spans="2:6">
      <c r="B71" s="481" t="s">
        <v>50</v>
      </c>
      <c r="C71" s="481" t="s">
        <v>462</v>
      </c>
      <c r="D71" s="481" t="s">
        <v>451</v>
      </c>
      <c r="E71" s="482">
        <v>135648.95000000001</v>
      </c>
    </row>
    <row r="72" spans="2:6">
      <c r="B72" s="481" t="s">
        <v>50</v>
      </c>
      <c r="C72" s="481" t="s">
        <v>463</v>
      </c>
      <c r="D72" s="481" t="s">
        <v>451</v>
      </c>
      <c r="E72" s="482">
        <v>4874770.4499999993</v>
      </c>
    </row>
    <row r="73" spans="2:6">
      <c r="B73" s="481" t="s">
        <v>50</v>
      </c>
      <c r="C73" s="481" t="s">
        <v>464</v>
      </c>
      <c r="D73" s="481" t="s">
        <v>451</v>
      </c>
      <c r="E73" s="482">
        <v>945916.91</v>
      </c>
    </row>
    <row r="74" spans="2:6">
      <c r="B74" s="481" t="s">
        <v>50</v>
      </c>
      <c r="C74" s="481" t="s">
        <v>465</v>
      </c>
      <c r="D74" s="481" t="s">
        <v>451</v>
      </c>
      <c r="E74" s="482">
        <v>348714.06</v>
      </c>
    </row>
    <row r="75" spans="2:6">
      <c r="B75" s="481" t="s">
        <v>50</v>
      </c>
      <c r="C75" s="481" t="s">
        <v>466</v>
      </c>
      <c r="D75" s="481" t="s">
        <v>451</v>
      </c>
      <c r="E75" s="482">
        <v>129220.36</v>
      </c>
    </row>
    <row r="76" spans="2:6">
      <c r="B76" s="481" t="s">
        <v>50</v>
      </c>
      <c r="C76" s="481" t="s">
        <v>467</v>
      </c>
      <c r="D76" s="481" t="s">
        <v>451</v>
      </c>
      <c r="E76" s="482">
        <v>116872.25000000001</v>
      </c>
    </row>
    <row r="77" spans="2:6">
      <c r="B77" s="481" t="s">
        <v>50</v>
      </c>
      <c r="C77" s="481" t="s">
        <v>468</v>
      </c>
      <c r="D77" s="481" t="s">
        <v>451</v>
      </c>
      <c r="E77" s="482">
        <v>78125.919999999998</v>
      </c>
    </row>
    <row r="78" spans="2:6">
      <c r="B78" s="481" t="s">
        <v>50</v>
      </c>
      <c r="C78" s="481" t="s">
        <v>469</v>
      </c>
      <c r="D78" s="481" t="s">
        <v>451</v>
      </c>
      <c r="E78" s="482">
        <v>64876.01</v>
      </c>
      <c r="F78" s="243"/>
    </row>
    <row r="79" spans="2:6">
      <c r="B79" s="481" t="s">
        <v>50</v>
      </c>
      <c r="C79" s="481" t="s">
        <v>481</v>
      </c>
      <c r="D79" s="481" t="s">
        <v>451</v>
      </c>
      <c r="E79" s="482">
        <v>13998.6</v>
      </c>
    </row>
    <row r="80" spans="2:6">
      <c r="B80" s="481" t="s">
        <v>50</v>
      </c>
      <c r="C80" s="481" t="s">
        <v>470</v>
      </c>
      <c r="D80" s="481" t="s">
        <v>451</v>
      </c>
      <c r="E80" s="482">
        <v>690410.26</v>
      </c>
    </row>
    <row r="81" spans="1:6">
      <c r="B81" s="481" t="s">
        <v>50</v>
      </c>
      <c r="C81" s="481" t="s">
        <v>471</v>
      </c>
      <c r="D81" s="481" t="s">
        <v>451</v>
      </c>
      <c r="E81" s="482">
        <v>673821.25000000012</v>
      </c>
    </row>
    <row r="82" spans="1:6">
      <c r="B82" s="481" t="s">
        <v>50</v>
      </c>
      <c r="C82" s="481" t="s">
        <v>472</v>
      </c>
      <c r="D82" s="481" t="s">
        <v>451</v>
      </c>
      <c r="E82" s="482">
        <v>9528.1200000000008</v>
      </c>
    </row>
    <row r="83" spans="1:6">
      <c r="B83" s="481" t="s">
        <v>50</v>
      </c>
      <c r="C83" s="481" t="s">
        <v>473</v>
      </c>
      <c r="D83" s="481" t="s">
        <v>451</v>
      </c>
      <c r="E83" s="482">
        <v>253635.50000000003</v>
      </c>
    </row>
    <row r="84" spans="1:6">
      <c r="B84" s="481" t="s">
        <v>50</v>
      </c>
      <c r="C84" s="481" t="s">
        <v>474</v>
      </c>
      <c r="D84" s="481" t="s">
        <v>451</v>
      </c>
      <c r="E84" s="482">
        <v>8437.61</v>
      </c>
    </row>
    <row r="85" spans="1:6">
      <c r="B85" s="481" t="s">
        <v>50</v>
      </c>
      <c r="C85" s="481" t="s">
        <v>475</v>
      </c>
      <c r="D85" s="481" t="s">
        <v>451</v>
      </c>
      <c r="E85" s="482">
        <v>113673.16000000002</v>
      </c>
    </row>
    <row r="86" spans="1:6">
      <c r="B86" s="481" t="s">
        <v>50</v>
      </c>
      <c r="C86" s="481" t="s">
        <v>476</v>
      </c>
      <c r="D86" s="481" t="s">
        <v>451</v>
      </c>
      <c r="E86" s="482">
        <v>278962.47000000003</v>
      </c>
    </row>
    <row r="87" spans="1:6">
      <c r="B87" s="481" t="s">
        <v>50</v>
      </c>
      <c r="C87" s="481" t="s">
        <v>477</v>
      </c>
      <c r="D87" s="481" t="s">
        <v>451</v>
      </c>
      <c r="E87" s="482">
        <v>17452.14</v>
      </c>
      <c r="F87" s="243"/>
    </row>
    <row r="88" spans="1:6">
      <c r="B88" s="481" t="s">
        <v>50</v>
      </c>
      <c r="C88" s="481" t="s">
        <v>478</v>
      </c>
      <c r="D88" s="481" t="s">
        <v>451</v>
      </c>
      <c r="E88" s="482">
        <v>1338018.1200000001</v>
      </c>
    </row>
    <row r="89" spans="1:6">
      <c r="A89" s="405"/>
      <c r="B89" s="481" t="s">
        <v>50</v>
      </c>
      <c r="C89" s="481" t="s">
        <v>627</v>
      </c>
      <c r="D89" s="481" t="s">
        <v>451</v>
      </c>
      <c r="E89" s="482">
        <v>23098.79</v>
      </c>
      <c r="F89" s="323"/>
    </row>
    <row r="90" spans="1:6">
      <c r="B90" s="481" t="s">
        <v>50</v>
      </c>
      <c r="C90" s="923" t="s">
        <v>479</v>
      </c>
      <c r="D90" s="923" t="s">
        <v>451</v>
      </c>
      <c r="E90" s="482">
        <v>13995.6</v>
      </c>
      <c r="F90" s="243"/>
    </row>
    <row r="91" spans="1:6">
      <c r="B91" s="481" t="s">
        <v>50</v>
      </c>
      <c r="C91" s="481" t="s">
        <v>480</v>
      </c>
      <c r="D91" s="481" t="s">
        <v>451</v>
      </c>
      <c r="E91" s="482">
        <v>28567.119999999999</v>
      </c>
      <c r="F91" s="243"/>
    </row>
    <row r="92" spans="1:6">
      <c r="B92" s="481" t="s">
        <v>50</v>
      </c>
      <c r="C92" s="481" t="s">
        <v>478</v>
      </c>
      <c r="D92" s="481" t="s">
        <v>451</v>
      </c>
      <c r="E92" s="482">
        <v>1725417.33</v>
      </c>
    </row>
    <row r="93" spans="1:6">
      <c r="B93" s="481" t="s">
        <v>50</v>
      </c>
      <c r="C93" s="481" t="s">
        <v>453</v>
      </c>
      <c r="D93" s="481" t="s">
        <v>451</v>
      </c>
      <c r="E93" s="482">
        <v>-477.47999999999996</v>
      </c>
    </row>
    <row r="94" spans="1:6">
      <c r="B94" s="481" t="s">
        <v>50</v>
      </c>
      <c r="C94" s="481" t="s">
        <v>454</v>
      </c>
      <c r="D94" s="481" t="s">
        <v>451</v>
      </c>
      <c r="E94" s="482">
        <v>-79.56</v>
      </c>
    </row>
    <row r="95" spans="1:6">
      <c r="B95" s="481" t="s">
        <v>50</v>
      </c>
      <c r="C95" s="481" t="s">
        <v>455</v>
      </c>
      <c r="D95" s="481" t="s">
        <v>451</v>
      </c>
      <c r="E95" s="482">
        <v>-50030.159999999996</v>
      </c>
    </row>
    <row r="96" spans="1:6">
      <c r="B96" s="481" t="s">
        <v>50</v>
      </c>
      <c r="C96" s="481" t="s">
        <v>456</v>
      </c>
      <c r="D96" s="481" t="s">
        <v>451</v>
      </c>
      <c r="E96" s="482">
        <v>-13895.039999999999</v>
      </c>
    </row>
    <row r="97" spans="2:6">
      <c r="B97" s="481" t="s">
        <v>50</v>
      </c>
      <c r="C97" s="481" t="s">
        <v>457</v>
      </c>
      <c r="D97" s="481" t="s">
        <v>451</v>
      </c>
      <c r="E97" s="482">
        <v>-1292.76</v>
      </c>
      <c r="F97" s="243"/>
    </row>
    <row r="98" spans="2:6">
      <c r="B98" s="481" t="s">
        <v>50</v>
      </c>
      <c r="C98" s="481" t="s">
        <v>458</v>
      </c>
      <c r="D98" s="481" t="s">
        <v>451</v>
      </c>
      <c r="E98" s="482">
        <v>-698.88</v>
      </c>
    </row>
    <row r="99" spans="2:6">
      <c r="B99" s="481" t="s">
        <v>50</v>
      </c>
      <c r="C99" s="481" t="s">
        <v>459</v>
      </c>
      <c r="D99" s="481" t="s">
        <v>451</v>
      </c>
      <c r="E99" s="482">
        <v>-10.56</v>
      </c>
    </row>
    <row r="100" spans="2:6">
      <c r="B100" s="481" t="s">
        <v>50</v>
      </c>
      <c r="C100" s="481" t="s">
        <v>460</v>
      </c>
      <c r="D100" s="481" t="s">
        <v>451</v>
      </c>
      <c r="E100" s="482">
        <v>-474243.60000000003</v>
      </c>
    </row>
    <row r="101" spans="2:6">
      <c r="B101" s="481" t="s">
        <v>50</v>
      </c>
      <c r="C101" s="481" t="s">
        <v>461</v>
      </c>
      <c r="D101" s="481" t="s">
        <v>451</v>
      </c>
      <c r="E101" s="482">
        <v>-5192.76</v>
      </c>
    </row>
    <row r="102" spans="2:6">
      <c r="B102" s="481" t="s">
        <v>50</v>
      </c>
      <c r="C102" s="481" t="s">
        <v>462</v>
      </c>
      <c r="D102" s="481" t="s">
        <v>451</v>
      </c>
      <c r="E102" s="482">
        <v>-6400.5599999999995</v>
      </c>
    </row>
    <row r="103" spans="2:6">
      <c r="B103" s="481" t="s">
        <v>50</v>
      </c>
      <c r="C103" s="481" t="s">
        <v>463</v>
      </c>
      <c r="D103" s="481" t="s">
        <v>451</v>
      </c>
      <c r="E103" s="482">
        <v>-212805.72000000003</v>
      </c>
    </row>
    <row r="104" spans="2:6">
      <c r="B104" s="481" t="s">
        <v>50</v>
      </c>
      <c r="C104" s="481" t="s">
        <v>464</v>
      </c>
      <c r="D104" s="481" t="s">
        <v>451</v>
      </c>
      <c r="E104" s="482">
        <v>-41043</v>
      </c>
    </row>
    <row r="105" spans="2:6">
      <c r="B105" s="481" t="s">
        <v>50</v>
      </c>
      <c r="C105" s="481" t="s">
        <v>465</v>
      </c>
      <c r="D105" s="481" t="s">
        <v>451</v>
      </c>
      <c r="E105" s="482">
        <v>-39000.840000000004</v>
      </c>
    </row>
    <row r="106" spans="2:6">
      <c r="B106" s="481" t="s">
        <v>50</v>
      </c>
      <c r="C106" s="481" t="s">
        <v>466</v>
      </c>
      <c r="D106" s="481" t="s">
        <v>451</v>
      </c>
      <c r="E106" s="482">
        <v>-13101.12</v>
      </c>
    </row>
    <row r="107" spans="2:6">
      <c r="B107" s="481" t="s">
        <v>50</v>
      </c>
      <c r="C107" s="481" t="s">
        <v>467</v>
      </c>
      <c r="D107" s="481" t="s">
        <v>451</v>
      </c>
      <c r="E107" s="482">
        <v>-5056.32</v>
      </c>
    </row>
    <row r="108" spans="2:6">
      <c r="B108" s="481" t="s">
        <v>50</v>
      </c>
      <c r="C108" s="481" t="s">
        <v>468</v>
      </c>
      <c r="D108" s="481" t="s">
        <v>451</v>
      </c>
      <c r="E108" s="482">
        <v>744.96</v>
      </c>
    </row>
    <row r="109" spans="2:6">
      <c r="B109" s="481" t="s">
        <v>50</v>
      </c>
      <c r="C109" s="481" t="s">
        <v>469</v>
      </c>
      <c r="D109" s="481" t="s">
        <v>451</v>
      </c>
      <c r="E109" s="482">
        <v>-3686.0399999999995</v>
      </c>
      <c r="F109" s="243"/>
    </row>
    <row r="110" spans="2:6">
      <c r="B110" s="481" t="s">
        <v>50</v>
      </c>
      <c r="C110" s="481" t="s">
        <v>481</v>
      </c>
      <c r="D110" s="481" t="s">
        <v>451</v>
      </c>
      <c r="E110" s="482">
        <v>1305.3599999999999</v>
      </c>
    </row>
    <row r="111" spans="2:6">
      <c r="B111" s="481" t="s">
        <v>50</v>
      </c>
      <c r="C111" s="481" t="s">
        <v>470</v>
      </c>
      <c r="D111" s="481" t="s">
        <v>451</v>
      </c>
      <c r="E111" s="482">
        <v>-3648.1199999999994</v>
      </c>
    </row>
    <row r="112" spans="2:6">
      <c r="B112" s="481" t="s">
        <v>50</v>
      </c>
      <c r="C112" s="481" t="s">
        <v>472</v>
      </c>
      <c r="D112" s="481" t="s">
        <v>451</v>
      </c>
      <c r="E112" s="482">
        <v>-384.24</v>
      </c>
    </row>
    <row r="113" spans="2:6">
      <c r="B113" s="481" t="s">
        <v>50</v>
      </c>
      <c r="C113" s="481" t="s">
        <v>473</v>
      </c>
      <c r="D113" s="481" t="s">
        <v>451</v>
      </c>
      <c r="E113" s="482">
        <v>-3171.72</v>
      </c>
    </row>
    <row r="114" spans="2:6">
      <c r="B114" s="481" t="s">
        <v>50</v>
      </c>
      <c r="C114" s="481" t="s">
        <v>477</v>
      </c>
      <c r="D114" s="481" t="s">
        <v>451</v>
      </c>
      <c r="E114" s="482">
        <v>-2666.8799999999997</v>
      </c>
      <c r="F114" s="243"/>
    </row>
    <row r="115" spans="2:6">
      <c r="B115" s="481" t="s">
        <v>50</v>
      </c>
      <c r="C115" s="923" t="s">
        <v>479</v>
      </c>
      <c r="D115" s="923" t="s">
        <v>451</v>
      </c>
      <c r="E115" s="482">
        <v>-2422.1999999999998</v>
      </c>
      <c r="F115" s="243">
        <f>SUM(E62:E115)</f>
        <v>16664537.099999998</v>
      </c>
    </row>
    <row r="116" spans="2:6">
      <c r="B116" s="481" t="s">
        <v>1658</v>
      </c>
      <c r="C116" s="481" t="s">
        <v>450</v>
      </c>
      <c r="D116" s="481" t="s">
        <v>451</v>
      </c>
      <c r="E116" s="482">
        <v>176353.37</v>
      </c>
    </row>
    <row r="117" spans="2:6">
      <c r="B117" s="481" t="s">
        <v>1659</v>
      </c>
      <c r="C117" s="481" t="s">
        <v>450</v>
      </c>
      <c r="D117" s="481" t="s">
        <v>451</v>
      </c>
      <c r="E117" s="482">
        <v>687646.04000000015</v>
      </c>
    </row>
    <row r="118" spans="2:6">
      <c r="B118" s="481" t="s">
        <v>1660</v>
      </c>
      <c r="C118" s="481" t="s">
        <v>450</v>
      </c>
      <c r="D118" s="481" t="s">
        <v>451</v>
      </c>
      <c r="E118" s="482">
        <v>4295316</v>
      </c>
    </row>
    <row r="119" spans="2:6">
      <c r="B119" s="481" t="s">
        <v>1661</v>
      </c>
      <c r="C119" s="481" t="s">
        <v>450</v>
      </c>
      <c r="D119" s="481" t="s">
        <v>451</v>
      </c>
      <c r="E119" s="482">
        <v>1529243.54</v>
      </c>
    </row>
    <row r="120" spans="2:6">
      <c r="B120" s="481" t="s">
        <v>1662</v>
      </c>
      <c r="C120" s="481" t="s">
        <v>450</v>
      </c>
      <c r="D120" s="481" t="s">
        <v>451</v>
      </c>
      <c r="E120" s="482">
        <v>254324.13000000003</v>
      </c>
    </row>
    <row r="121" spans="2:6">
      <c r="B121" s="481" t="s">
        <v>1663</v>
      </c>
      <c r="C121" s="481" t="s">
        <v>450</v>
      </c>
      <c r="D121" s="481" t="s">
        <v>451</v>
      </c>
      <c r="E121" s="482">
        <v>2422610.84</v>
      </c>
    </row>
    <row r="122" spans="2:6" ht="15.75" customHeight="1">
      <c r="B122" s="481" t="s">
        <v>1664</v>
      </c>
      <c r="C122" s="481" t="s">
        <v>450</v>
      </c>
      <c r="D122" s="481" t="s">
        <v>451</v>
      </c>
      <c r="E122" s="482">
        <v>-2143670.7200000002</v>
      </c>
    </row>
    <row r="123" spans="2:6" ht="14.4">
      <c r="B123" s="479" t="s">
        <v>1665</v>
      </c>
      <c r="C123" s="479" t="s">
        <v>450</v>
      </c>
      <c r="D123" s="479" t="s">
        <v>451</v>
      </c>
      <c r="E123" s="920">
        <v>112845952.51000001</v>
      </c>
    </row>
    <row r="124" spans="2:6" ht="14.4">
      <c r="B124" s="479" t="s">
        <v>1666</v>
      </c>
      <c r="C124" s="479" t="s">
        <v>450</v>
      </c>
      <c r="D124" s="479" t="s">
        <v>451</v>
      </c>
      <c r="E124" s="920">
        <v>13315093.789999999</v>
      </c>
    </row>
    <row r="125" spans="2:6" ht="14.4">
      <c r="B125" s="481" t="s">
        <v>181</v>
      </c>
      <c r="C125" s="481" t="s">
        <v>181</v>
      </c>
      <c r="D125" s="481" t="s">
        <v>181</v>
      </c>
      <c r="E125" s="480">
        <v>0</v>
      </c>
    </row>
    <row r="126" spans="2:6" ht="15.75" customHeight="1">
      <c r="B126" s="479" t="s">
        <v>482</v>
      </c>
      <c r="C126" s="479" t="s">
        <v>181</v>
      </c>
      <c r="D126" s="479" t="s">
        <v>181</v>
      </c>
      <c r="E126" s="480">
        <v>0</v>
      </c>
    </row>
    <row r="127" spans="2:6" ht="15.75" customHeight="1">
      <c r="B127" s="481" t="s">
        <v>1667</v>
      </c>
      <c r="C127" s="481" t="s">
        <v>450</v>
      </c>
      <c r="D127" s="481" t="s">
        <v>540</v>
      </c>
      <c r="E127" s="482">
        <v>0</v>
      </c>
    </row>
    <row r="128" spans="2:6">
      <c r="B128" s="481" t="s">
        <v>1668</v>
      </c>
      <c r="C128" s="481" t="s">
        <v>450</v>
      </c>
      <c r="D128" s="481" t="s">
        <v>540</v>
      </c>
      <c r="E128" s="482">
        <v>21516.35</v>
      </c>
    </row>
    <row r="129" spans="1:6">
      <c r="B129" s="481" t="s">
        <v>1669</v>
      </c>
      <c r="C129" s="481" t="s">
        <v>450</v>
      </c>
      <c r="D129" s="481" t="s">
        <v>540</v>
      </c>
      <c r="E129" s="482">
        <v>-1798.57</v>
      </c>
      <c r="F129" s="243"/>
    </row>
    <row r="130" spans="1:6">
      <c r="A130" s="366" t="str">
        <f>CONCATENATE(B130,".",D130)</f>
        <v>0421_40290 - Misc Nonoper Inc - Misc Revenues.5762_SA</v>
      </c>
      <c r="B130" s="481" t="s">
        <v>1670</v>
      </c>
      <c r="C130" s="481" t="s">
        <v>450</v>
      </c>
      <c r="D130" s="481" t="s">
        <v>541</v>
      </c>
      <c r="E130" s="482">
        <v>9174606.4399999995</v>
      </c>
      <c r="F130" s="243"/>
    </row>
    <row r="131" spans="1:6">
      <c r="A131" s="366" t="str">
        <f>CONCATENATE(B131,".",D131)</f>
        <v>0421_40600 - Misc Nooper Inc - NSP Derivative Revenue.0000_SA</v>
      </c>
      <c r="B131" s="481" t="s">
        <v>1671</v>
      </c>
      <c r="C131" s="481" t="s">
        <v>450</v>
      </c>
      <c r="D131" s="481" t="s">
        <v>540</v>
      </c>
      <c r="E131" s="482">
        <v>-82138.150000000009</v>
      </c>
      <c r="F131" s="243"/>
    </row>
    <row r="132" spans="1:6" ht="19.350000000000001" customHeight="1">
      <c r="A132" s="366" t="str">
        <f>CONCATENATE(B132,".",D132)</f>
        <v>0421_43000 - Misc Nonoper Inc - Intercompany Sales - NSP.5761_SA</v>
      </c>
      <c r="B132" s="481" t="s">
        <v>1672</v>
      </c>
      <c r="C132" s="481" t="s">
        <v>450</v>
      </c>
      <c r="D132" s="481" t="s">
        <v>542</v>
      </c>
      <c r="E132" s="482">
        <v>276614.25</v>
      </c>
      <c r="F132" s="243"/>
    </row>
    <row r="133" spans="1:6">
      <c r="A133" s="366" t="str">
        <f>CONCATENATE(B133,".",D133)</f>
        <v>0421_43000 - Misc Nonoper Inc - Intercompany Sales - NSP.5768_SA</v>
      </c>
      <c r="B133" s="481" t="s">
        <v>1672</v>
      </c>
      <c r="C133" s="481" t="s">
        <v>450</v>
      </c>
      <c r="D133" s="481" t="s">
        <v>543</v>
      </c>
      <c r="E133" s="482">
        <v>2432057.75</v>
      </c>
      <c r="F133" s="243"/>
    </row>
    <row r="134" spans="1:6">
      <c r="A134" s="366"/>
      <c r="B134" s="481" t="s">
        <v>1673</v>
      </c>
      <c r="C134" s="481" t="s">
        <v>450</v>
      </c>
      <c r="D134" s="481" t="s">
        <v>540</v>
      </c>
      <c r="E134" s="482">
        <v>86638.11</v>
      </c>
    </row>
    <row r="135" spans="1:6">
      <c r="A135" s="366" t="str">
        <f>CONCATENATE(B135,".",D135)</f>
        <v>0421_51230 - Misc Nonoper Inc - Purchased Power.0000_SA</v>
      </c>
      <c r="B135" s="481" t="s">
        <v>1674</v>
      </c>
      <c r="C135" s="481" t="s">
        <v>450</v>
      </c>
      <c r="D135" s="481" t="s">
        <v>540</v>
      </c>
      <c r="E135" s="482">
        <v>-7567783.3499999996</v>
      </c>
      <c r="F135" s="243"/>
    </row>
    <row r="136" spans="1:6">
      <c r="A136" s="366" t="str">
        <f>CONCATENATE(B136,".",D136)</f>
        <v>0421_51230 - Misc Nonoper Inc - Purchased Power.5761_SA</v>
      </c>
      <c r="B136" s="481" t="s">
        <v>1674</v>
      </c>
      <c r="C136" s="481" t="s">
        <v>450</v>
      </c>
      <c r="D136" s="481" t="s">
        <v>542</v>
      </c>
      <c r="E136" s="482">
        <v>-276616.68</v>
      </c>
      <c r="F136" s="243"/>
    </row>
    <row r="137" spans="1:6">
      <c r="A137" s="366" t="str">
        <f>CONCATENATE(B137,".",D137)</f>
        <v>0421_51230 - Misc Nonoper Inc - Purchased Power.5768_SA</v>
      </c>
      <c r="B137" s="481" t="s">
        <v>1674</v>
      </c>
      <c r="C137" s="481" t="s">
        <v>450</v>
      </c>
      <c r="D137" s="481" t="s">
        <v>543</v>
      </c>
      <c r="E137" s="482">
        <v>-2432057.75</v>
      </c>
    </row>
    <row r="138" spans="1:6">
      <c r="B138" s="481" t="s">
        <v>1675</v>
      </c>
      <c r="C138" s="481" t="s">
        <v>450</v>
      </c>
      <c r="D138" s="481" t="s">
        <v>540</v>
      </c>
      <c r="E138" s="482">
        <v>-822315.61</v>
      </c>
      <c r="F138" s="243"/>
    </row>
    <row r="139" spans="1:6" ht="14.4">
      <c r="B139" s="479" t="s">
        <v>1676</v>
      </c>
      <c r="C139" s="479" t="s">
        <v>450</v>
      </c>
      <c r="D139" s="479" t="s">
        <v>451</v>
      </c>
      <c r="E139" s="920">
        <v>808722.79</v>
      </c>
    </row>
    <row r="140" spans="1:6" ht="14.4">
      <c r="B140" s="481" t="s">
        <v>181</v>
      </c>
      <c r="C140" s="481" t="s">
        <v>181</v>
      </c>
      <c r="D140" s="481" t="s">
        <v>181</v>
      </c>
      <c r="E140" s="480">
        <v>0</v>
      </c>
      <c r="F140" s="243"/>
    </row>
    <row r="141" spans="1:6" ht="14.4">
      <c r="B141" s="479" t="s">
        <v>483</v>
      </c>
      <c r="C141" s="479" t="s">
        <v>181</v>
      </c>
      <c r="D141" s="479" t="s">
        <v>181</v>
      </c>
      <c r="E141" s="480">
        <v>0</v>
      </c>
    </row>
    <row r="142" spans="1:6">
      <c r="B142" s="481" t="s">
        <v>1677</v>
      </c>
      <c r="C142" s="481" t="s">
        <v>450</v>
      </c>
      <c r="D142" s="481" t="s">
        <v>451</v>
      </c>
      <c r="E142" s="482">
        <v>206527.84000000003</v>
      </c>
    </row>
    <row r="143" spans="1:6" ht="15.75" customHeight="1">
      <c r="B143" s="481" t="s">
        <v>1678</v>
      </c>
      <c r="C143" s="481" t="s">
        <v>450</v>
      </c>
      <c r="D143" s="481" t="s">
        <v>451</v>
      </c>
      <c r="E143" s="482">
        <v>4041.9999999999995</v>
      </c>
    </row>
    <row r="144" spans="1:6">
      <c r="B144" s="481" t="s">
        <v>1679</v>
      </c>
      <c r="C144" s="481" t="s">
        <v>450</v>
      </c>
      <c r="D144" s="481" t="s">
        <v>451</v>
      </c>
      <c r="E144" s="482">
        <v>1120003.5299999998</v>
      </c>
    </row>
    <row r="145" spans="2:5" ht="14.4">
      <c r="B145" s="479" t="s">
        <v>1680</v>
      </c>
      <c r="C145" s="479" t="s">
        <v>450</v>
      </c>
      <c r="D145" s="479" t="s">
        <v>451</v>
      </c>
      <c r="E145" s="920">
        <v>1330573.3700000001</v>
      </c>
    </row>
    <row r="146" spans="2:5" ht="14.4">
      <c r="B146" s="481" t="s">
        <v>181</v>
      </c>
      <c r="C146" s="481" t="s">
        <v>181</v>
      </c>
      <c r="D146" s="481" t="s">
        <v>181</v>
      </c>
      <c r="E146" s="480">
        <v>0</v>
      </c>
    </row>
    <row r="147" spans="2:5" ht="14.4">
      <c r="B147" s="479" t="s">
        <v>484</v>
      </c>
      <c r="C147" s="479" t="s">
        <v>181</v>
      </c>
      <c r="D147" s="479" t="s">
        <v>181</v>
      </c>
      <c r="E147" s="480">
        <v>0</v>
      </c>
    </row>
    <row r="148" spans="2:5">
      <c r="B148" s="481" t="s">
        <v>1681</v>
      </c>
      <c r="C148" s="481" t="s">
        <v>450</v>
      </c>
      <c r="D148" s="481" t="s">
        <v>451</v>
      </c>
      <c r="E148" s="482">
        <v>17661.72</v>
      </c>
    </row>
    <row r="149" spans="2:5">
      <c r="B149" s="481" t="s">
        <v>1682</v>
      </c>
      <c r="C149" s="481" t="s">
        <v>450</v>
      </c>
      <c r="D149" s="481" t="s">
        <v>451</v>
      </c>
      <c r="E149" s="482">
        <v>-301888.52</v>
      </c>
    </row>
    <row r="150" spans="2:5">
      <c r="B150" s="481" t="s">
        <v>1683</v>
      </c>
      <c r="C150" s="481" t="s">
        <v>450</v>
      </c>
      <c r="D150" s="481" t="s">
        <v>451</v>
      </c>
      <c r="E150" s="482">
        <v>-73987.94</v>
      </c>
    </row>
    <row r="151" spans="2:5">
      <c r="B151" s="481" t="s">
        <v>1684</v>
      </c>
      <c r="C151" s="481" t="s">
        <v>450</v>
      </c>
      <c r="D151" s="481" t="s">
        <v>451</v>
      </c>
      <c r="E151" s="482">
        <v>78434.819999999992</v>
      </c>
    </row>
    <row r="152" spans="2:5">
      <c r="B152" s="481" t="s">
        <v>1685</v>
      </c>
      <c r="C152" s="481" t="s">
        <v>450</v>
      </c>
      <c r="D152" s="481" t="s">
        <v>451</v>
      </c>
      <c r="E152" s="482">
        <v>-18408.45</v>
      </c>
    </row>
    <row r="153" spans="2:5" ht="14.4">
      <c r="B153" s="479" t="s">
        <v>1686</v>
      </c>
      <c r="C153" s="479" t="s">
        <v>450</v>
      </c>
      <c r="D153" s="479" t="s">
        <v>451</v>
      </c>
      <c r="E153" s="920">
        <v>-298188.37000000005</v>
      </c>
    </row>
    <row r="154" spans="2:5" ht="14.4">
      <c r="B154" s="481" t="s">
        <v>181</v>
      </c>
      <c r="C154" s="481" t="s">
        <v>181</v>
      </c>
      <c r="D154" s="481" t="s">
        <v>181</v>
      </c>
      <c r="E154" s="480">
        <v>0</v>
      </c>
    </row>
    <row r="155" spans="2:5" ht="14.4">
      <c r="B155" s="479" t="s">
        <v>485</v>
      </c>
      <c r="C155" s="479" t="s">
        <v>181</v>
      </c>
      <c r="D155" s="479" t="s">
        <v>181</v>
      </c>
      <c r="E155" s="480">
        <v>0</v>
      </c>
    </row>
    <row r="156" spans="2:5">
      <c r="B156" s="481" t="s">
        <v>1687</v>
      </c>
      <c r="C156" s="481" t="s">
        <v>450</v>
      </c>
      <c r="D156" s="481" t="s">
        <v>451</v>
      </c>
      <c r="E156" s="482">
        <v>4555666.63</v>
      </c>
    </row>
    <row r="157" spans="2:5">
      <c r="B157" s="481" t="s">
        <v>1688</v>
      </c>
      <c r="C157" s="481" t="s">
        <v>450</v>
      </c>
      <c r="D157" s="481" t="s">
        <v>451</v>
      </c>
      <c r="E157" s="482">
        <v>42124.86</v>
      </c>
    </row>
    <row r="158" spans="2:5">
      <c r="B158" s="481" t="s">
        <v>1689</v>
      </c>
      <c r="C158" s="481" t="s">
        <v>450</v>
      </c>
      <c r="D158" s="481" t="s">
        <v>451</v>
      </c>
      <c r="E158" s="482">
        <v>1738150.3699999999</v>
      </c>
    </row>
    <row r="159" spans="2:5">
      <c r="B159" s="481" t="s">
        <v>1690</v>
      </c>
      <c r="C159" s="481" t="s">
        <v>450</v>
      </c>
      <c r="D159" s="481" t="s">
        <v>451</v>
      </c>
      <c r="E159" s="482">
        <v>-187647.46000000002</v>
      </c>
    </row>
    <row r="160" spans="2:5" ht="14.4">
      <c r="B160" s="479" t="s">
        <v>1691</v>
      </c>
      <c r="C160" s="479" t="s">
        <v>450</v>
      </c>
      <c r="D160" s="479" t="s">
        <v>451</v>
      </c>
      <c r="E160" s="920">
        <v>6148294.4000000004</v>
      </c>
    </row>
    <row r="161" spans="2:5" ht="14.4">
      <c r="B161" s="481" t="s">
        <v>181</v>
      </c>
      <c r="C161" s="481" t="s">
        <v>181</v>
      </c>
      <c r="D161" s="481" t="s">
        <v>181</v>
      </c>
      <c r="E161" s="480">
        <v>0</v>
      </c>
    </row>
    <row r="162" spans="2:5" ht="14.4">
      <c r="B162" s="479" t="s">
        <v>486</v>
      </c>
      <c r="C162" s="479" t="s">
        <v>181</v>
      </c>
      <c r="D162" s="479" t="s">
        <v>181</v>
      </c>
      <c r="E162" s="480">
        <v>0</v>
      </c>
    </row>
    <row r="163" spans="2:5">
      <c r="B163" s="481" t="s">
        <v>1692</v>
      </c>
      <c r="C163" s="481" t="s">
        <v>450</v>
      </c>
      <c r="D163" s="481" t="s">
        <v>451</v>
      </c>
      <c r="E163" s="482">
        <v>0</v>
      </c>
    </row>
    <row r="164" spans="2:5" ht="14.4">
      <c r="B164" s="479" t="s">
        <v>1693</v>
      </c>
      <c r="C164" s="479" t="s">
        <v>450</v>
      </c>
      <c r="D164" s="479" t="s">
        <v>451</v>
      </c>
      <c r="E164" s="920">
        <v>0</v>
      </c>
    </row>
    <row r="165" spans="2:5" ht="14.4">
      <c r="B165" s="481" t="s">
        <v>181</v>
      </c>
      <c r="C165" s="481" t="s">
        <v>181</v>
      </c>
      <c r="D165" s="481" t="s">
        <v>181</v>
      </c>
      <c r="E165" s="480">
        <v>0</v>
      </c>
    </row>
    <row r="166" spans="2:5" ht="14.4">
      <c r="B166" s="479" t="s">
        <v>1694</v>
      </c>
      <c r="C166" s="479" t="s">
        <v>450</v>
      </c>
      <c r="D166" s="479" t="s">
        <v>451</v>
      </c>
      <c r="E166" s="920">
        <v>6943137.1799999997</v>
      </c>
    </row>
  </sheetData>
  <pageMargins left="0.7" right="0.7" top="0.75" bottom="0.75" header="0.3" footer="0.3"/>
  <pageSetup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E9BB-CAE1-433B-9F2A-265A8904234E}">
  <sheetPr>
    <tabColor rgb="FF00B0F0"/>
  </sheetPr>
  <dimension ref="A1:G55"/>
  <sheetViews>
    <sheetView zoomScale="80" zoomScaleNormal="80" workbookViewId="0">
      <selection sqref="A1:F1"/>
    </sheetView>
  </sheetViews>
  <sheetFormatPr defaultRowHeight="13.2"/>
  <cols>
    <col min="1" max="1" width="38.5546875" customWidth="1"/>
    <col min="2" max="6" width="23" customWidth="1"/>
  </cols>
  <sheetData>
    <row r="1" spans="1:7">
      <c r="C1" s="473" t="s">
        <v>366</v>
      </c>
    </row>
    <row r="3" spans="1:7">
      <c r="C3" s="473" t="s">
        <v>649</v>
      </c>
    </row>
    <row r="4" spans="1:7">
      <c r="C4" s="924" t="s">
        <v>1542</v>
      </c>
    </row>
    <row r="5" spans="1:7" ht="13.8" thickBot="1">
      <c r="A5" s="477"/>
      <c r="B5" s="477"/>
      <c r="C5" s="925" t="s">
        <v>1745</v>
      </c>
      <c r="D5" s="477"/>
      <c r="E5" s="477"/>
      <c r="F5" s="477"/>
    </row>
    <row r="6" spans="1:7" ht="13.8" thickTop="1"/>
    <row r="7" spans="1:7" ht="14.4">
      <c r="A7" t="s">
        <v>367</v>
      </c>
      <c r="B7" s="926" t="s">
        <v>650</v>
      </c>
      <c r="C7" s="926" t="s">
        <v>651</v>
      </c>
      <c r="D7" s="926" t="s">
        <v>1695</v>
      </c>
      <c r="E7" s="926" t="s">
        <v>652</v>
      </c>
      <c r="F7" s="926" t="s">
        <v>653</v>
      </c>
    </row>
    <row r="8" spans="1:7" ht="14.4">
      <c r="A8" s="479" t="s">
        <v>243</v>
      </c>
      <c r="B8" s="480">
        <v>0</v>
      </c>
      <c r="C8" s="480">
        <v>0</v>
      </c>
      <c r="D8" s="480">
        <v>0</v>
      </c>
      <c r="E8" s="480">
        <v>0</v>
      </c>
      <c r="F8" s="480">
        <v>0</v>
      </c>
    </row>
    <row r="9" spans="1:7">
      <c r="A9" s="481" t="s">
        <v>1696</v>
      </c>
      <c r="B9" s="482">
        <v>0</v>
      </c>
      <c r="C9" s="482">
        <v>23098.79</v>
      </c>
      <c r="D9" s="482">
        <v>23098.79</v>
      </c>
      <c r="E9" s="482">
        <v>0</v>
      </c>
      <c r="F9" s="482">
        <v>23098.79</v>
      </c>
    </row>
    <row r="10" spans="1:7">
      <c r="A10" s="481" t="s">
        <v>707</v>
      </c>
      <c r="B10" s="482">
        <v>0</v>
      </c>
      <c r="C10" s="482">
        <v>13995.6</v>
      </c>
      <c r="D10" s="482">
        <v>13995.6</v>
      </c>
      <c r="E10" s="482">
        <v>-2422.1999999999998</v>
      </c>
      <c r="F10" s="482">
        <v>11573.400000000001</v>
      </c>
    </row>
    <row r="11" spans="1:7">
      <c r="A11" s="481" t="s">
        <v>708</v>
      </c>
      <c r="B11" s="482">
        <v>0</v>
      </c>
      <c r="C11" s="482">
        <v>28567.119999999999</v>
      </c>
      <c r="D11" s="482">
        <v>28567.119999999999</v>
      </c>
      <c r="E11" s="482">
        <v>0</v>
      </c>
      <c r="F11" s="482">
        <v>28567.119999999999</v>
      </c>
      <c r="G11" s="913"/>
    </row>
    <row r="12" spans="1:7" ht="14.4">
      <c r="A12" s="927" t="s">
        <v>1697</v>
      </c>
      <c r="B12" s="920">
        <v>0</v>
      </c>
      <c r="C12" s="920">
        <v>65661.509999999995</v>
      </c>
      <c r="D12" s="920">
        <v>65661.509999999995</v>
      </c>
      <c r="E12" s="920">
        <v>-2422.1999999999998</v>
      </c>
      <c r="F12" s="920">
        <v>63239.310000000005</v>
      </c>
    </row>
    <row r="13" spans="1:7" ht="14.4">
      <c r="A13" s="481" t="s">
        <v>181</v>
      </c>
      <c r="B13" s="480">
        <v>0</v>
      </c>
      <c r="C13" s="480">
        <v>0</v>
      </c>
      <c r="D13" s="480">
        <v>0</v>
      </c>
      <c r="E13" s="480">
        <v>0</v>
      </c>
      <c r="F13" s="480">
        <v>0</v>
      </c>
    </row>
    <row r="14" spans="1:7" ht="14.4">
      <c r="A14" s="479" t="s">
        <v>46</v>
      </c>
      <c r="B14" s="480">
        <v>0</v>
      </c>
      <c r="C14" s="480">
        <v>0</v>
      </c>
      <c r="D14" s="480">
        <v>0</v>
      </c>
      <c r="E14" s="480">
        <v>0</v>
      </c>
      <c r="F14" s="480">
        <v>0</v>
      </c>
    </row>
    <row r="15" spans="1:7">
      <c r="A15" s="481" t="s">
        <v>709</v>
      </c>
      <c r="B15" s="482">
        <v>1426.1999999999998</v>
      </c>
      <c r="C15" s="482">
        <v>0</v>
      </c>
      <c r="D15" s="482">
        <v>1426.1999999999998</v>
      </c>
      <c r="E15" s="482">
        <v>-477.47999999999996</v>
      </c>
      <c r="F15" s="482">
        <v>948.71999999999991</v>
      </c>
    </row>
    <row r="16" spans="1:7">
      <c r="A16" s="481" t="s">
        <v>710</v>
      </c>
      <c r="B16" s="482">
        <v>328.67999999999995</v>
      </c>
      <c r="C16" s="482">
        <v>0</v>
      </c>
      <c r="D16" s="482">
        <v>328.67999999999995</v>
      </c>
      <c r="E16" s="482">
        <v>-79.56</v>
      </c>
      <c r="F16" s="482">
        <v>249.11999999999998</v>
      </c>
    </row>
    <row r="17" spans="1:6">
      <c r="A17" s="481" t="s">
        <v>711</v>
      </c>
      <c r="B17" s="482">
        <v>339448.68000000005</v>
      </c>
      <c r="C17" s="482">
        <v>0</v>
      </c>
      <c r="D17" s="482">
        <v>339448.68000000005</v>
      </c>
      <c r="E17" s="482">
        <v>-50030.159999999996</v>
      </c>
      <c r="F17" s="482">
        <v>289418.52</v>
      </c>
    </row>
    <row r="18" spans="1:6">
      <c r="A18" s="481" t="s">
        <v>712</v>
      </c>
      <c r="B18" s="482">
        <v>53639.16</v>
      </c>
      <c r="C18" s="482">
        <v>0</v>
      </c>
      <c r="D18" s="482">
        <v>53639.16</v>
      </c>
      <c r="E18" s="482">
        <v>-13895.039999999999</v>
      </c>
      <c r="F18" s="482">
        <v>39744.120000000003</v>
      </c>
    </row>
    <row r="19" spans="1:6">
      <c r="A19" s="481" t="s">
        <v>713</v>
      </c>
      <c r="B19" s="482">
        <v>4405.92</v>
      </c>
      <c r="C19" s="482">
        <v>0</v>
      </c>
      <c r="D19" s="482">
        <v>4405.92</v>
      </c>
      <c r="E19" s="482">
        <v>-1292.76</v>
      </c>
      <c r="F19" s="482">
        <v>3113.16</v>
      </c>
    </row>
    <row r="20" spans="1:6" ht="14.4">
      <c r="A20" s="927" t="s">
        <v>579</v>
      </c>
      <c r="B20" s="920">
        <v>399248.64000000007</v>
      </c>
      <c r="C20" s="920">
        <v>0</v>
      </c>
      <c r="D20" s="920">
        <v>399248.64000000007</v>
      </c>
      <c r="E20" s="920">
        <v>-65775</v>
      </c>
      <c r="F20" s="920">
        <v>333473.64</v>
      </c>
    </row>
    <row r="21" spans="1:6" ht="14.4">
      <c r="A21" s="481" t="s">
        <v>181</v>
      </c>
      <c r="B21" s="480">
        <v>0</v>
      </c>
      <c r="C21" s="480">
        <v>0</v>
      </c>
      <c r="D21" s="480">
        <v>0</v>
      </c>
      <c r="E21" s="480">
        <v>0</v>
      </c>
      <c r="F21" s="480">
        <v>0</v>
      </c>
    </row>
    <row r="22" spans="1:6" ht="14.4">
      <c r="A22" s="479" t="s">
        <v>48</v>
      </c>
      <c r="B22" s="480">
        <v>0</v>
      </c>
      <c r="C22" s="480">
        <v>0</v>
      </c>
      <c r="D22" s="480">
        <v>0</v>
      </c>
      <c r="E22" s="480">
        <v>0</v>
      </c>
      <c r="F22" s="480">
        <v>0</v>
      </c>
    </row>
    <row r="23" spans="1:6">
      <c r="A23" s="481" t="s">
        <v>1742</v>
      </c>
      <c r="B23" s="482">
        <v>3543.8999999999996</v>
      </c>
      <c r="C23" s="482">
        <v>0</v>
      </c>
      <c r="D23" s="482">
        <v>3543.8999999999996</v>
      </c>
      <c r="E23" s="482">
        <v>-698.88</v>
      </c>
      <c r="F23" s="482">
        <v>2845.02</v>
      </c>
    </row>
    <row r="24" spans="1:6">
      <c r="A24" s="481" t="s">
        <v>714</v>
      </c>
      <c r="B24" s="482">
        <v>2980.94</v>
      </c>
      <c r="C24" s="482">
        <v>0</v>
      </c>
      <c r="D24" s="482">
        <v>2980.94</v>
      </c>
      <c r="E24" s="482">
        <v>-10.56</v>
      </c>
      <c r="F24" s="482">
        <v>2970.3799999999997</v>
      </c>
    </row>
    <row r="25" spans="1:6">
      <c r="A25" s="481" t="s">
        <v>715</v>
      </c>
      <c r="B25" s="482">
        <v>5097811.0599999996</v>
      </c>
      <c r="C25" s="482">
        <v>0</v>
      </c>
      <c r="D25" s="482">
        <v>5097811.0599999996</v>
      </c>
      <c r="E25" s="482">
        <v>-474243.60000000003</v>
      </c>
      <c r="F25" s="482">
        <v>4623567.46</v>
      </c>
    </row>
    <row r="26" spans="1:6">
      <c r="A26" s="481" t="s">
        <v>716</v>
      </c>
      <c r="B26" s="482">
        <v>155048.82000000004</v>
      </c>
      <c r="C26" s="482">
        <v>0</v>
      </c>
      <c r="D26" s="482">
        <v>155048.82000000004</v>
      </c>
      <c r="E26" s="482">
        <v>-5192.76</v>
      </c>
      <c r="F26" s="482">
        <v>149856.06</v>
      </c>
    </row>
    <row r="27" spans="1:6">
      <c r="A27" s="481" t="s">
        <v>717</v>
      </c>
      <c r="B27" s="482">
        <v>135648.95000000001</v>
      </c>
      <c r="C27" s="482">
        <v>0</v>
      </c>
      <c r="D27" s="482">
        <v>135648.95000000001</v>
      </c>
      <c r="E27" s="482">
        <v>-6400.5599999999995</v>
      </c>
      <c r="F27" s="482">
        <v>129248.39000000001</v>
      </c>
    </row>
    <row r="28" spans="1:6">
      <c r="A28" s="481" t="s">
        <v>718</v>
      </c>
      <c r="B28" s="482">
        <v>4874770.4499999993</v>
      </c>
      <c r="C28" s="482">
        <v>0</v>
      </c>
      <c r="D28" s="482">
        <v>4874770.4499999993</v>
      </c>
      <c r="E28" s="482">
        <v>-212805.72000000003</v>
      </c>
      <c r="F28" s="482">
        <v>4661964.7300000004</v>
      </c>
    </row>
    <row r="29" spans="1:6">
      <c r="A29" s="481" t="s">
        <v>719</v>
      </c>
      <c r="B29" s="482">
        <v>945916.91</v>
      </c>
      <c r="C29" s="482">
        <v>0</v>
      </c>
      <c r="D29" s="482">
        <v>945916.91</v>
      </c>
      <c r="E29" s="482">
        <v>-41043</v>
      </c>
      <c r="F29" s="482">
        <v>904873.91</v>
      </c>
    </row>
    <row r="30" spans="1:6">
      <c r="A30" s="481" t="s">
        <v>720</v>
      </c>
      <c r="B30" s="482">
        <v>348714.06</v>
      </c>
      <c r="C30" s="482">
        <v>0</v>
      </c>
      <c r="D30" s="482">
        <v>348714.06</v>
      </c>
      <c r="E30" s="482">
        <v>-39000.840000000004</v>
      </c>
      <c r="F30" s="482">
        <v>309713.22000000003</v>
      </c>
    </row>
    <row r="31" spans="1:6">
      <c r="A31" s="481" t="s">
        <v>721</v>
      </c>
      <c r="B31" s="482">
        <v>129220.36</v>
      </c>
      <c r="C31" s="482">
        <v>0</v>
      </c>
      <c r="D31" s="482">
        <v>129220.36</v>
      </c>
      <c r="E31" s="482">
        <v>-13101.12</v>
      </c>
      <c r="F31" s="482">
        <v>116119.24</v>
      </c>
    </row>
    <row r="32" spans="1:6">
      <c r="A32" s="481" t="s">
        <v>722</v>
      </c>
      <c r="B32" s="482">
        <v>116872.25000000001</v>
      </c>
      <c r="C32" s="482">
        <v>0</v>
      </c>
      <c r="D32" s="482">
        <v>116872.25000000001</v>
      </c>
      <c r="E32" s="482">
        <v>-5056.32</v>
      </c>
      <c r="F32" s="482">
        <v>111815.93000000001</v>
      </c>
    </row>
    <row r="33" spans="1:6">
      <c r="A33" s="481" t="s">
        <v>723</v>
      </c>
      <c r="B33" s="482">
        <v>78125.919999999998</v>
      </c>
      <c r="C33" s="482">
        <v>0</v>
      </c>
      <c r="D33" s="482">
        <v>78125.919999999998</v>
      </c>
      <c r="E33" s="482">
        <v>744.96</v>
      </c>
      <c r="F33" s="482">
        <v>78870.880000000005</v>
      </c>
    </row>
    <row r="34" spans="1:6">
      <c r="A34" s="481" t="s">
        <v>724</v>
      </c>
      <c r="B34" s="482">
        <v>64876.01</v>
      </c>
      <c r="C34" s="482">
        <v>0</v>
      </c>
      <c r="D34" s="482">
        <v>64876.01</v>
      </c>
      <c r="E34" s="482">
        <v>-3686.0399999999995</v>
      </c>
      <c r="F34" s="482">
        <v>61189.97</v>
      </c>
    </row>
    <row r="35" spans="1:6" ht="14.4">
      <c r="A35" s="927" t="s">
        <v>605</v>
      </c>
      <c r="B35" s="920">
        <v>11953529.630000001</v>
      </c>
      <c r="C35" s="920">
        <v>0</v>
      </c>
      <c r="D35" s="920">
        <v>11953529.630000001</v>
      </c>
      <c r="E35" s="920">
        <v>-800494.44000000006</v>
      </c>
      <c r="F35" s="920">
        <v>11153035.189999999</v>
      </c>
    </row>
    <row r="36" spans="1:6" ht="14.4">
      <c r="A36" s="481" t="s">
        <v>181</v>
      </c>
      <c r="B36" s="480">
        <v>0</v>
      </c>
      <c r="C36" s="480">
        <v>0</v>
      </c>
      <c r="D36" s="480">
        <v>0</v>
      </c>
      <c r="E36" s="480">
        <v>0</v>
      </c>
      <c r="F36" s="480">
        <v>0</v>
      </c>
    </row>
    <row r="37" spans="1:6" ht="14.4">
      <c r="A37" s="479" t="s">
        <v>137</v>
      </c>
      <c r="B37" s="480">
        <v>0</v>
      </c>
      <c r="C37" s="480">
        <v>0</v>
      </c>
      <c r="D37" s="480">
        <v>0</v>
      </c>
      <c r="E37" s="480">
        <v>0</v>
      </c>
      <c r="F37" s="480">
        <v>0</v>
      </c>
    </row>
    <row r="38" spans="1:6">
      <c r="A38" s="481" t="s">
        <v>725</v>
      </c>
      <c r="B38" s="482">
        <v>13998.6</v>
      </c>
      <c r="C38" s="482">
        <v>0</v>
      </c>
      <c r="D38" s="482">
        <v>13998.6</v>
      </c>
      <c r="E38" s="482">
        <v>1305.3599999999999</v>
      </c>
      <c r="F38" s="482">
        <v>15303.96</v>
      </c>
    </row>
    <row r="39" spans="1:6">
      <c r="A39" s="481" t="s">
        <v>726</v>
      </c>
      <c r="B39" s="482">
        <v>690410.26</v>
      </c>
      <c r="C39" s="482">
        <v>0</v>
      </c>
      <c r="D39" s="482">
        <v>690410.26</v>
      </c>
      <c r="E39" s="482">
        <v>-3648.1199999999994</v>
      </c>
      <c r="F39" s="482">
        <v>686762.14</v>
      </c>
    </row>
    <row r="40" spans="1:6">
      <c r="A40" s="481" t="s">
        <v>727</v>
      </c>
      <c r="B40" s="482">
        <v>673821.25000000012</v>
      </c>
      <c r="C40" s="482">
        <v>0</v>
      </c>
      <c r="D40" s="482">
        <v>673821.25000000012</v>
      </c>
      <c r="E40" s="482">
        <v>0</v>
      </c>
      <c r="F40" s="482">
        <v>673821.25000000012</v>
      </c>
    </row>
    <row r="41" spans="1:6">
      <c r="A41" s="481" t="s">
        <v>729</v>
      </c>
      <c r="B41" s="482">
        <v>9528.1200000000008</v>
      </c>
      <c r="C41" s="482">
        <v>0</v>
      </c>
      <c r="D41" s="482">
        <v>9528.1200000000008</v>
      </c>
      <c r="E41" s="482">
        <v>-384.24</v>
      </c>
      <c r="F41" s="482">
        <v>9143.8799999999992</v>
      </c>
    </row>
    <row r="42" spans="1:6">
      <c r="A42" s="481" t="s">
        <v>730</v>
      </c>
      <c r="B42" s="482">
        <v>253635.50000000003</v>
      </c>
      <c r="C42" s="482">
        <v>0</v>
      </c>
      <c r="D42" s="482">
        <v>253635.50000000003</v>
      </c>
      <c r="E42" s="482">
        <v>-3171.72</v>
      </c>
      <c r="F42" s="482">
        <v>250463.78000000003</v>
      </c>
    </row>
    <row r="43" spans="1:6">
      <c r="A43" s="481" t="s">
        <v>731</v>
      </c>
      <c r="B43" s="482">
        <v>8437.61</v>
      </c>
      <c r="C43" s="482">
        <v>0</v>
      </c>
      <c r="D43" s="482">
        <v>8437.61</v>
      </c>
      <c r="E43" s="482">
        <v>0</v>
      </c>
      <c r="F43" s="482">
        <v>8437.61</v>
      </c>
    </row>
    <row r="44" spans="1:6">
      <c r="A44" s="481" t="s">
        <v>732</v>
      </c>
      <c r="B44" s="482">
        <v>113673.16000000002</v>
      </c>
      <c r="C44" s="482">
        <v>0</v>
      </c>
      <c r="D44" s="482">
        <v>113673.16000000002</v>
      </c>
      <c r="E44" s="482">
        <v>0</v>
      </c>
      <c r="F44" s="482">
        <v>113673.16000000002</v>
      </c>
    </row>
    <row r="45" spans="1:6">
      <c r="A45" s="481" t="s">
        <v>733</v>
      </c>
      <c r="B45" s="482">
        <v>278962.47000000003</v>
      </c>
      <c r="C45" s="482">
        <v>0</v>
      </c>
      <c r="D45" s="482">
        <v>278962.47000000003</v>
      </c>
      <c r="E45" s="482">
        <v>0</v>
      </c>
      <c r="F45" s="482">
        <v>278962.47000000003</v>
      </c>
    </row>
    <row r="46" spans="1:6">
      <c r="A46" s="481" t="s">
        <v>734</v>
      </c>
      <c r="B46" s="482">
        <v>17452.14</v>
      </c>
      <c r="C46" s="482">
        <v>0</v>
      </c>
      <c r="D46" s="482">
        <v>17452.14</v>
      </c>
      <c r="E46" s="482">
        <v>-2666.8799999999997</v>
      </c>
      <c r="F46" s="482">
        <v>14785.259999999998</v>
      </c>
    </row>
    <row r="47" spans="1:6" ht="14.4">
      <c r="A47" s="927" t="s">
        <v>263</v>
      </c>
      <c r="B47" s="920">
        <v>2059919.1099999999</v>
      </c>
      <c r="C47" s="920">
        <v>0</v>
      </c>
      <c r="D47" s="920">
        <v>2059919.1099999999</v>
      </c>
      <c r="E47" s="920">
        <v>-8565.6</v>
      </c>
      <c r="F47" s="920">
        <v>2051353.51</v>
      </c>
    </row>
    <row r="48" spans="1:6" ht="14.4">
      <c r="A48" s="481" t="s">
        <v>181</v>
      </c>
      <c r="B48" s="480">
        <v>0</v>
      </c>
      <c r="C48" s="480">
        <v>0</v>
      </c>
      <c r="D48" s="480">
        <v>0</v>
      </c>
      <c r="E48" s="480">
        <v>0</v>
      </c>
      <c r="F48" s="480">
        <v>0</v>
      </c>
    </row>
    <row r="49" spans="1:6" ht="14.4">
      <c r="A49" s="927" t="s">
        <v>654</v>
      </c>
      <c r="B49" s="920">
        <v>1338018.1200000001</v>
      </c>
      <c r="C49" s="920">
        <v>1725417.33</v>
      </c>
      <c r="D49" s="920">
        <v>3063435.45</v>
      </c>
      <c r="E49" s="920">
        <v>0</v>
      </c>
      <c r="F49" s="920">
        <v>3063435.45</v>
      </c>
    </row>
    <row r="50" spans="1:6" ht="14.4">
      <c r="A50" s="481" t="s">
        <v>181</v>
      </c>
      <c r="B50" s="480">
        <v>0</v>
      </c>
      <c r="C50" s="480">
        <v>0</v>
      </c>
      <c r="D50" s="480">
        <v>0</v>
      </c>
      <c r="E50" s="480">
        <v>0</v>
      </c>
      <c r="F50" s="480">
        <v>0</v>
      </c>
    </row>
    <row r="51" spans="1:6" ht="14.4">
      <c r="A51" s="927" t="s">
        <v>16</v>
      </c>
      <c r="B51" s="920">
        <v>15750715.5</v>
      </c>
      <c r="C51" s="920">
        <v>1791078.8399999999</v>
      </c>
      <c r="D51" s="920">
        <v>17541794.34</v>
      </c>
      <c r="E51" s="920">
        <v>-877257.24</v>
      </c>
      <c r="F51" s="920">
        <v>16664537.1</v>
      </c>
    </row>
    <row r="52" spans="1:6" ht="14.4">
      <c r="A52" s="481" t="s">
        <v>181</v>
      </c>
      <c r="B52" s="480">
        <v>0</v>
      </c>
      <c r="C52" s="480">
        <v>0</v>
      </c>
      <c r="D52" s="480">
        <v>0</v>
      </c>
      <c r="E52" s="480">
        <v>0</v>
      </c>
      <c r="F52" s="480">
        <v>0</v>
      </c>
    </row>
    <row r="53" spans="1:6" ht="21.9" customHeight="1">
      <c r="A53" s="479" t="s">
        <v>1698</v>
      </c>
      <c r="B53" s="480"/>
      <c r="C53" s="480"/>
      <c r="D53" s="480"/>
      <c r="E53" s="480"/>
      <c r="F53" s="480"/>
    </row>
    <row r="54" spans="1:6" ht="14.4">
      <c r="A54" s="479" t="s">
        <v>1699</v>
      </c>
      <c r="B54" s="480"/>
      <c r="C54" s="480"/>
      <c r="D54" s="480"/>
      <c r="E54" s="480"/>
      <c r="F54" s="480"/>
    </row>
    <row r="55" spans="1:6" ht="14.4">
      <c r="A55" s="479" t="s">
        <v>1700</v>
      </c>
      <c r="B55" s="480"/>
      <c r="C55" s="480"/>
      <c r="D55" s="480"/>
      <c r="E55" s="480"/>
      <c r="F55" s="480"/>
    </row>
  </sheetData>
  <pageMargins left="0.25" right="0.25" top="0.25" bottom="0.25" header="0.3" footer="0.3"/>
  <pageSetup scale="85" fitToHeight="0" orientation="landscape" horizontalDpi="200" verticalDpi="200" r:id="rId1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64FF-E801-445B-887B-CB04E47E5D74}">
  <sheetPr>
    <tabColor rgb="FF00B0F0"/>
  </sheetPr>
  <dimension ref="A1:G68"/>
  <sheetViews>
    <sheetView zoomScaleNormal="100" workbookViewId="0">
      <selection sqref="A1:F1"/>
    </sheetView>
  </sheetViews>
  <sheetFormatPr defaultRowHeight="13.2"/>
  <cols>
    <col min="1" max="1" width="51.6640625" customWidth="1"/>
    <col min="2" max="2" width="5.5546875" customWidth="1"/>
    <col min="3" max="3" width="14.44140625" bestFit="1" customWidth="1"/>
    <col min="4" max="4" width="3.5546875" customWidth="1"/>
    <col min="5" max="5" width="14.44140625" bestFit="1" customWidth="1"/>
    <col min="7" max="7" width="14.44140625" bestFit="1" customWidth="1"/>
  </cols>
  <sheetData>
    <row r="1" spans="1:5" ht="13.8">
      <c r="A1" s="1149" t="s">
        <v>4</v>
      </c>
      <c r="B1" s="1149"/>
      <c r="C1" s="1149"/>
      <c r="D1" s="1149"/>
      <c r="E1" s="1149"/>
    </row>
    <row r="2" spans="1:5" ht="13.8">
      <c r="A2" s="1149" t="s">
        <v>8</v>
      </c>
      <c r="B2" s="1149"/>
      <c r="C2" s="1149"/>
      <c r="D2" s="1149"/>
      <c r="E2" s="1149"/>
    </row>
    <row r="4" spans="1:5" ht="13.8">
      <c r="A4" s="1150" t="s">
        <v>656</v>
      </c>
      <c r="B4" s="1151"/>
      <c r="C4" s="1151"/>
      <c r="D4" s="1151"/>
      <c r="E4" s="1152"/>
    </row>
    <row r="6" spans="1:5">
      <c r="C6" s="428" t="s">
        <v>657</v>
      </c>
      <c r="D6" s="429"/>
      <c r="E6" s="430" t="s">
        <v>658</v>
      </c>
    </row>
    <row r="7" spans="1:5">
      <c r="A7" s="431" t="s">
        <v>659</v>
      </c>
      <c r="B7" s="432"/>
      <c r="C7" s="243">
        <f>'Rev Exp'!J21</f>
        <v>68985711.940000013</v>
      </c>
      <c r="E7" s="243">
        <f>C7</f>
        <v>68985711.940000013</v>
      </c>
    </row>
    <row r="9" spans="1:5">
      <c r="A9" s="431" t="s">
        <v>660</v>
      </c>
      <c r="B9" s="432"/>
      <c r="C9" s="243">
        <f>'Rev Exp'!J83</f>
        <v>28962820.550075121</v>
      </c>
      <c r="E9" s="243">
        <f>C9</f>
        <v>28962820.550075121</v>
      </c>
    </row>
    <row r="10" spans="1:5">
      <c r="A10" s="431" t="s">
        <v>661</v>
      </c>
      <c r="B10" s="432"/>
      <c r="C10" s="243">
        <f>'Rev Exp'!J133</f>
        <v>17445062.362369001</v>
      </c>
      <c r="E10" s="243">
        <f>C10</f>
        <v>17445062.362369001</v>
      </c>
    </row>
    <row r="11" spans="1:5">
      <c r="A11" s="431" t="s">
        <v>662</v>
      </c>
      <c r="B11" s="432"/>
      <c r="C11" s="243">
        <f>'Rev Exp'!J138</f>
        <v>5852780.7856770055</v>
      </c>
      <c r="E11" s="243">
        <f>C11</f>
        <v>5852780.7856770055</v>
      </c>
    </row>
    <row r="12" spans="1:5">
      <c r="A12" s="433" t="s">
        <v>663</v>
      </c>
      <c r="B12" s="432"/>
      <c r="C12" s="349">
        <f>'Rev Exp'!J142</f>
        <v>53976.84</v>
      </c>
      <c r="E12" s="349">
        <f>C12</f>
        <v>53976.84</v>
      </c>
    </row>
    <row r="13" spans="1:5">
      <c r="A13" t="s">
        <v>664</v>
      </c>
      <c r="C13" s="243">
        <f>SUM(C9:C12)</f>
        <v>52314640.538121134</v>
      </c>
      <c r="D13" s="243"/>
      <c r="E13" s="243">
        <f>SUM(E9:E12)</f>
        <v>52314640.538121134</v>
      </c>
    </row>
    <row r="15" spans="1:5">
      <c r="A15" t="s">
        <v>665</v>
      </c>
      <c r="C15" s="434">
        <f>C48</f>
        <v>6668261.0536346389</v>
      </c>
      <c r="E15" s="434">
        <f>C15</f>
        <v>6668261.0536346389</v>
      </c>
    </row>
    <row r="17" spans="1:6">
      <c r="A17" s="431" t="s">
        <v>666</v>
      </c>
      <c r="B17" s="435"/>
      <c r="C17" s="436">
        <f>C7-C13-C15</f>
        <v>10002810.348244239</v>
      </c>
      <c r="D17" s="243"/>
      <c r="E17" s="243">
        <f>C17</f>
        <v>10002810.348244239</v>
      </c>
    </row>
    <row r="19" spans="1:6">
      <c r="A19" s="431" t="s">
        <v>667</v>
      </c>
      <c r="B19" s="432"/>
      <c r="C19" s="243">
        <f>'Inc Tax Support'!H18</f>
        <v>-3983924.3822732009</v>
      </c>
      <c r="D19" s="243"/>
      <c r="E19" s="243">
        <f>'Inc Tax Support'!H26</f>
        <v>-7272053.3822732009</v>
      </c>
    </row>
    <row r="21" spans="1:6">
      <c r="A21" s="7" t="s">
        <v>668</v>
      </c>
      <c r="B21" s="432"/>
      <c r="C21" s="436">
        <f>C17+C19</f>
        <v>6018885.9659710377</v>
      </c>
      <c r="D21" s="437"/>
      <c r="E21" s="436">
        <f>E17+E19</f>
        <v>2730756.9659710377</v>
      </c>
    </row>
    <row r="22" spans="1:6">
      <c r="A22" s="7" t="s">
        <v>669</v>
      </c>
      <c r="B22" s="432"/>
      <c r="C22" s="438">
        <f>-E37</f>
        <v>-133688.13682838617</v>
      </c>
      <c r="D22" s="437"/>
      <c r="E22" s="439"/>
    </row>
    <row r="23" spans="1:6">
      <c r="A23" s="7" t="s">
        <v>670</v>
      </c>
      <c r="B23" s="432"/>
      <c r="C23" s="436">
        <f>SUM(C21:C22)</f>
        <v>5885197.8291426515</v>
      </c>
      <c r="D23" s="437"/>
      <c r="E23" s="436">
        <f>SUM(E21:E22)</f>
        <v>2730756.9659710377</v>
      </c>
    </row>
    <row r="24" spans="1:6">
      <c r="A24" s="2" t="s">
        <v>671</v>
      </c>
      <c r="B24" s="432"/>
      <c r="C24" s="438">
        <v>0</v>
      </c>
      <c r="D24" s="437"/>
      <c r="E24" s="438">
        <v>0</v>
      </c>
    </row>
    <row r="25" spans="1:6">
      <c r="A25" s="7" t="s">
        <v>672</v>
      </c>
      <c r="B25" s="432"/>
      <c r="C25" s="436">
        <f>C23+C24</f>
        <v>5885197.8291426515</v>
      </c>
      <c r="D25" s="437"/>
      <c r="E25" s="436">
        <f>E23+E24</f>
        <v>2730756.9659710377</v>
      </c>
    </row>
    <row r="26" spans="1:6">
      <c r="A26" s="2" t="s">
        <v>673</v>
      </c>
      <c r="B26" s="432"/>
      <c r="C26" s="440"/>
      <c r="D26" s="437"/>
      <c r="E26" s="441">
        <v>0.99911099999999997</v>
      </c>
    </row>
    <row r="27" spans="1:6">
      <c r="A27" s="2" t="s">
        <v>674</v>
      </c>
      <c r="B27" s="432"/>
      <c r="C27" s="442">
        <f>C25</f>
        <v>5885197.8291426515</v>
      </c>
      <c r="E27" s="442">
        <f>E25*E26</f>
        <v>2728329.3230282892</v>
      </c>
    </row>
    <row r="29" spans="1:6">
      <c r="A29" s="431" t="s">
        <v>675</v>
      </c>
      <c r="B29" s="432"/>
      <c r="C29" s="443">
        <v>0.21</v>
      </c>
      <c r="D29" s="437"/>
      <c r="E29" s="444">
        <v>4.9000000000000002E-2</v>
      </c>
    </row>
    <row r="30" spans="1:6">
      <c r="A30" s="7" t="s">
        <v>676</v>
      </c>
      <c r="B30" s="432"/>
      <c r="C30" s="445">
        <f>C27*C29</f>
        <v>1235891.5441199567</v>
      </c>
      <c r="D30" s="437"/>
      <c r="E30" s="445">
        <f>E27*E29</f>
        <v>133688.13682838617</v>
      </c>
    </row>
    <row r="31" spans="1:6">
      <c r="A31" s="7" t="s">
        <v>677</v>
      </c>
      <c r="C31" s="446">
        <v>0</v>
      </c>
      <c r="D31" s="437"/>
      <c r="E31" s="445"/>
    </row>
    <row r="32" spans="1:6">
      <c r="A32" s="7" t="s">
        <v>678</v>
      </c>
      <c r="B32" s="447"/>
      <c r="C32" s="448">
        <v>-715.47</v>
      </c>
      <c r="D32" s="437"/>
      <c r="E32" s="449"/>
      <c r="F32" s="405"/>
    </row>
    <row r="33" spans="1:7">
      <c r="A33" s="7" t="s">
        <v>679</v>
      </c>
      <c r="B33" s="432"/>
      <c r="C33" s="448"/>
      <c r="D33" s="437"/>
      <c r="E33" s="450">
        <f>-E34-E35</f>
        <v>0</v>
      </c>
      <c r="F33" s="323"/>
    </row>
    <row r="34" spans="1:7">
      <c r="A34" s="7" t="s">
        <v>488</v>
      </c>
      <c r="B34" s="432"/>
      <c r="C34" s="448">
        <v>0</v>
      </c>
      <c r="D34" s="437"/>
      <c r="E34" s="448">
        <v>0</v>
      </c>
      <c r="F34" s="405"/>
    </row>
    <row r="35" spans="1:7">
      <c r="A35" s="7" t="s">
        <v>488</v>
      </c>
      <c r="B35" s="432"/>
      <c r="C35" s="451">
        <v>0</v>
      </c>
      <c r="D35" s="437"/>
      <c r="E35" s="451">
        <v>0</v>
      </c>
    </row>
    <row r="36" spans="1:7">
      <c r="A36" s="7" t="s">
        <v>680</v>
      </c>
      <c r="B36" s="432"/>
      <c r="C36" s="452">
        <f>SUM(C31:C35)</f>
        <v>-715.47</v>
      </c>
      <c r="D36" s="437"/>
      <c r="E36" s="453">
        <f>SUM(E31:E35)</f>
        <v>0</v>
      </c>
    </row>
    <row r="37" spans="1:7">
      <c r="A37" s="2" t="s">
        <v>681</v>
      </c>
      <c r="B37" s="432"/>
      <c r="C37" s="454">
        <f>C30+C36</f>
        <v>1235176.0741199567</v>
      </c>
      <c r="D37" s="437"/>
      <c r="E37" s="455">
        <f>E30+E36</f>
        <v>133688.13682838617</v>
      </c>
    </row>
    <row r="38" spans="1:7">
      <c r="B38" s="432"/>
    </row>
    <row r="39" spans="1:7" ht="13.8" thickBot="1">
      <c r="A39" s="431" t="s">
        <v>682</v>
      </c>
      <c r="B39" s="456"/>
      <c r="C39" s="457">
        <f>C37+E37</f>
        <v>1368864.2109483429</v>
      </c>
    </row>
    <row r="40" spans="1:7" ht="13.8" thickTop="1">
      <c r="A40" s="431"/>
      <c r="B40" s="456"/>
      <c r="C40" s="458"/>
    </row>
    <row r="41" spans="1:7" ht="13.8" thickBot="1">
      <c r="A41" s="431" t="s">
        <v>683</v>
      </c>
      <c r="B41" s="456"/>
      <c r="C41" s="243">
        <f>'Rev Exp'!H145</f>
        <v>1783567.6700000002</v>
      </c>
      <c r="G41" s="1124">
        <f>C42+G68</f>
        <v>-309744.80164418113</v>
      </c>
    </row>
    <row r="42" spans="1:7" ht="13.8" thickBot="1">
      <c r="A42" s="431" t="s">
        <v>684</v>
      </c>
      <c r="B42" s="456"/>
      <c r="C42" s="459">
        <f>C39-C41</f>
        <v>-414703.45905165724</v>
      </c>
    </row>
    <row r="43" spans="1:7">
      <c r="A43" s="431"/>
      <c r="B43" s="431"/>
    </row>
    <row r="44" spans="1:7">
      <c r="A44" s="432"/>
      <c r="B44" s="432"/>
    </row>
    <row r="45" spans="1:7">
      <c r="A45" s="432"/>
      <c r="B45" s="432"/>
    </row>
    <row r="46" spans="1:7">
      <c r="A46" s="431" t="s">
        <v>1</v>
      </c>
      <c r="C46" s="460">
        <f>'Rate Base'!H143</f>
        <v>291295381.68268651</v>
      </c>
    </row>
    <row r="47" spans="1:7">
      <c r="A47" s="431" t="s">
        <v>685</v>
      </c>
      <c r="C47" s="461">
        <f>'Rev Exp'!J163</f>
        <v>2.2891749999999999E-2</v>
      </c>
    </row>
    <row r="48" spans="1:7">
      <c r="A48" s="431" t="s">
        <v>686</v>
      </c>
      <c r="B48" s="431"/>
      <c r="C48" s="462">
        <f>C46*C47</f>
        <v>6668261.0536346389</v>
      </c>
    </row>
    <row r="51" spans="1:7" ht="13.8">
      <c r="A51" s="1150" t="s">
        <v>687</v>
      </c>
      <c r="B51" s="1151"/>
      <c r="C51" s="1151"/>
      <c r="D51" s="1151"/>
      <c r="E51" s="1151"/>
      <c r="F51" s="1151"/>
      <c r="G51" s="1152"/>
    </row>
    <row r="53" spans="1:7">
      <c r="A53" s="7" t="s">
        <v>666</v>
      </c>
      <c r="B53" s="7"/>
      <c r="C53" s="2"/>
      <c r="D53" s="2"/>
      <c r="E53" s="2"/>
      <c r="F53" s="2"/>
      <c r="G53" s="463">
        <f>C17</f>
        <v>10002810.348244239</v>
      </c>
    </row>
    <row r="54" spans="1:7">
      <c r="A54" s="7" t="s">
        <v>1824</v>
      </c>
      <c r="B54" s="7"/>
      <c r="C54" s="2"/>
      <c r="D54" s="2"/>
      <c r="E54" s="2"/>
      <c r="F54" s="437"/>
      <c r="G54" s="1123">
        <v>0.24867559</v>
      </c>
    </row>
    <row r="55" spans="1:7">
      <c r="A55" s="7" t="s">
        <v>688</v>
      </c>
      <c r="B55" s="7"/>
      <c r="C55" s="2"/>
      <c r="D55" s="2"/>
      <c r="E55" s="2"/>
      <c r="F55" s="2"/>
      <c r="G55" s="5">
        <f>G53*G54</f>
        <v>2487454.7650077417</v>
      </c>
    </row>
    <row r="56" spans="1:7">
      <c r="A56" s="2"/>
      <c r="B56" s="2"/>
      <c r="C56" s="5"/>
      <c r="D56" s="2"/>
      <c r="E56" s="2"/>
      <c r="F56" s="2"/>
      <c r="G56" s="2"/>
    </row>
    <row r="57" spans="1:7" ht="26.4">
      <c r="A57" s="7" t="s">
        <v>689</v>
      </c>
      <c r="B57" s="7"/>
      <c r="C57" s="464" t="s">
        <v>690</v>
      </c>
      <c r="D57" s="4"/>
      <c r="E57" s="465" t="s">
        <v>691</v>
      </c>
      <c r="F57" s="4"/>
      <c r="G57" s="465" t="s">
        <v>692</v>
      </c>
    </row>
    <row r="58" spans="1:7">
      <c r="A58" s="7" t="s">
        <v>693</v>
      </c>
      <c r="B58" s="447"/>
      <c r="C58" s="466">
        <v>39003.519999999997</v>
      </c>
      <c r="D58" s="2"/>
      <c r="E58" s="467">
        <f>G54</f>
        <v>0.24867559</v>
      </c>
      <c r="F58" s="2"/>
      <c r="G58" s="976">
        <f>C58*E58</f>
        <v>9699.2233480767991</v>
      </c>
    </row>
    <row r="59" spans="1:7">
      <c r="A59" s="7" t="s">
        <v>1872</v>
      </c>
      <c r="B59" s="7"/>
      <c r="C59" s="5"/>
      <c r="D59" s="2"/>
      <c r="E59" s="467"/>
      <c r="F59" s="447"/>
      <c r="G59" s="466">
        <v>-744391</v>
      </c>
    </row>
    <row r="60" spans="1:7">
      <c r="A60" s="7" t="s">
        <v>488</v>
      </c>
      <c r="B60" s="7"/>
      <c r="C60" s="5"/>
      <c r="D60" s="2"/>
      <c r="E60" s="467"/>
      <c r="F60" s="447"/>
      <c r="G60" s="466">
        <v>0</v>
      </c>
    </row>
    <row r="61" spans="1:7">
      <c r="A61" s="7" t="s">
        <v>488</v>
      </c>
      <c r="B61" s="7"/>
      <c r="C61" s="5"/>
      <c r="D61" s="2"/>
      <c r="E61" s="467"/>
      <c r="F61" s="447"/>
      <c r="G61" s="1010">
        <v>0</v>
      </c>
    </row>
    <row r="62" spans="1:7">
      <c r="A62" s="7" t="s">
        <v>694</v>
      </c>
      <c r="B62" s="7"/>
      <c r="C62" s="5"/>
      <c r="D62" s="2"/>
      <c r="E62" s="2"/>
      <c r="F62" s="2"/>
      <c r="G62" s="436">
        <f>SUM(G58:G61)</f>
        <v>-734691.7766519232</v>
      </c>
    </row>
    <row r="63" spans="1:7">
      <c r="A63" s="2"/>
      <c r="B63" s="2"/>
      <c r="C63" s="5"/>
      <c r="D63" s="2"/>
      <c r="E63" s="2"/>
      <c r="F63" s="2"/>
      <c r="G63" s="436"/>
    </row>
    <row r="64" spans="1:7">
      <c r="A64" s="7" t="s">
        <v>695</v>
      </c>
      <c r="B64" s="7"/>
      <c r="C64" s="2"/>
      <c r="D64" s="2"/>
      <c r="E64" s="2"/>
      <c r="F64" s="2"/>
      <c r="G64" s="436">
        <f>G55+G62</f>
        <v>1752762.9883558187</v>
      </c>
    </row>
    <row r="65" spans="1:7">
      <c r="A65" s="7" t="s">
        <v>696</v>
      </c>
      <c r="B65" s="7"/>
      <c r="C65" s="2"/>
      <c r="D65" s="2"/>
      <c r="E65" s="2"/>
      <c r="F65" s="2"/>
      <c r="G65" s="438">
        <f>C39</f>
        <v>1368864.2109483429</v>
      </c>
    </row>
    <row r="66" spans="1:7">
      <c r="A66" s="7" t="s">
        <v>697</v>
      </c>
      <c r="B66" s="7"/>
      <c r="C66" s="2"/>
      <c r="D66" s="2"/>
      <c r="E66" s="2"/>
      <c r="F66" s="2"/>
      <c r="G66" s="436">
        <f>G64-G65</f>
        <v>383898.77740747575</v>
      </c>
    </row>
    <row r="67" spans="1:7" ht="13.8" thickBot="1">
      <c r="A67" s="7" t="s">
        <v>698</v>
      </c>
      <c r="B67" s="7"/>
      <c r="C67" s="2"/>
      <c r="D67" s="2"/>
      <c r="E67" s="2"/>
      <c r="F67" s="2"/>
      <c r="G67" s="468">
        <f>'Rev Exp'!H146+'Rev Exp'!H147</f>
        <v>278940.11999999965</v>
      </c>
    </row>
    <row r="68" spans="1:7" ht="13.8" thickBot="1">
      <c r="A68" s="8" t="s">
        <v>699</v>
      </c>
      <c r="B68" s="8"/>
      <c r="C68" s="2"/>
      <c r="D68" s="2"/>
      <c r="E68" s="2"/>
      <c r="F68" s="2"/>
      <c r="G68" s="469">
        <f>G66-G67</f>
        <v>104958.6574074761</v>
      </c>
    </row>
  </sheetData>
  <mergeCells count="4">
    <mergeCell ref="A1:E1"/>
    <mergeCell ref="A2:E2"/>
    <mergeCell ref="A4:E4"/>
    <mergeCell ref="A51:G51"/>
  </mergeCells>
  <pageMargins left="0.7" right="0.7" top="0.75" bottom="0.75" header="0.3" footer="0.3"/>
  <pageSetup scale="78" orientation="portrait" horizontalDpi="200" verticalDpi="200" r:id="rId1"/>
  <rowBreaks count="1" manualBreakCount="1">
    <brk id="50" max="6" man="1"/>
  </rowBreaks>
  <colBreaks count="1" manualBreakCount="1">
    <brk id="7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79E28-B580-4810-AC34-DE7CD4915E81}">
  <sheetPr>
    <tabColor rgb="FF00B0F0"/>
    <pageSetUpPr fitToPage="1"/>
  </sheetPr>
  <dimension ref="A1:H26"/>
  <sheetViews>
    <sheetView zoomScaleNormal="100" workbookViewId="0">
      <selection sqref="A1:F1"/>
    </sheetView>
  </sheetViews>
  <sheetFormatPr defaultColWidth="8.6640625" defaultRowHeight="13.2"/>
  <cols>
    <col min="1" max="1" width="28.6640625" style="958" customWidth="1"/>
    <col min="2" max="2" width="6.88671875" style="958" bestFit="1" customWidth="1"/>
    <col min="3" max="3" width="15.6640625" style="958" customWidth="1"/>
    <col min="4" max="5" width="18.6640625" style="958" customWidth="1"/>
    <col min="6" max="7" width="20.6640625" style="958" customWidth="1"/>
    <col min="8" max="8" width="15.6640625" style="958" customWidth="1"/>
    <col min="9" max="10" width="8.6640625" style="958"/>
    <col min="11" max="11" width="10.88671875" style="958" bestFit="1" customWidth="1"/>
    <col min="12" max="16384" width="8.6640625" style="958"/>
  </cols>
  <sheetData>
    <row r="1" spans="1:8" ht="13.8">
      <c r="A1" s="1153" t="s">
        <v>4</v>
      </c>
      <c r="B1" s="1153"/>
      <c r="C1" s="1153"/>
      <c r="D1" s="1153"/>
      <c r="E1" s="1153"/>
      <c r="F1" s="1153"/>
      <c r="G1" s="1153"/>
      <c r="H1" s="1153"/>
    </row>
    <row r="2" spans="1:8" ht="13.8">
      <c r="A2" s="1153" t="s">
        <v>1799</v>
      </c>
      <c r="B2" s="1153"/>
      <c r="C2" s="1153"/>
      <c r="D2" s="1153"/>
      <c r="E2" s="1153"/>
      <c r="F2" s="1153"/>
      <c r="G2" s="1153"/>
      <c r="H2" s="1153"/>
    </row>
    <row r="4" spans="1:8">
      <c r="E4" s="975"/>
      <c r="F4" s="381"/>
    </row>
    <row r="5" spans="1:8">
      <c r="C5" s="1154" t="s">
        <v>1823</v>
      </c>
      <c r="D5" s="1156" t="s">
        <v>1800</v>
      </c>
      <c r="E5" s="1157"/>
      <c r="F5" s="1158" t="s">
        <v>1801</v>
      </c>
      <c r="G5" s="1158"/>
      <c r="H5" s="1159" t="s">
        <v>1802</v>
      </c>
    </row>
    <row r="6" spans="1:8" s="962" customFormat="1" ht="42" customHeight="1">
      <c r="A6" s="959" t="s">
        <v>1803</v>
      </c>
      <c r="B6" s="959"/>
      <c r="C6" s="1155"/>
      <c r="D6" s="960" t="s">
        <v>1804</v>
      </c>
      <c r="E6" s="960" t="s">
        <v>1805</v>
      </c>
      <c r="F6" s="961" t="s">
        <v>1770</v>
      </c>
      <c r="G6" s="961" t="s">
        <v>1766</v>
      </c>
      <c r="H6" s="1160"/>
    </row>
    <row r="7" spans="1:8" s="965" customFormat="1" ht="10.199999999999999">
      <c r="A7" s="963"/>
      <c r="B7" s="963"/>
      <c r="C7" s="964"/>
      <c r="D7" s="964" t="s">
        <v>332</v>
      </c>
      <c r="E7" s="964" t="s">
        <v>332</v>
      </c>
      <c r="F7" s="964" t="s">
        <v>1819</v>
      </c>
      <c r="G7" s="964" t="s">
        <v>1819</v>
      </c>
      <c r="H7" s="964"/>
    </row>
    <row r="8" spans="1:8">
      <c r="A8" s="436" t="s">
        <v>1806</v>
      </c>
      <c r="B8" s="966"/>
      <c r="C8" s="436">
        <v>-366077</v>
      </c>
      <c r="D8" s="436"/>
      <c r="H8" s="958">
        <f t="shared" ref="H8:H17" si="0">SUM(C8:G8)</f>
        <v>-366077</v>
      </c>
    </row>
    <row r="9" spans="1:8">
      <c r="A9" s="381" t="s">
        <v>1820</v>
      </c>
      <c r="B9" s="967"/>
      <c r="C9" s="958">
        <v>-2548087</v>
      </c>
      <c r="H9" s="958">
        <f t="shared" si="0"/>
        <v>-2548087</v>
      </c>
    </row>
    <row r="10" spans="1:8">
      <c r="A10" s="381" t="s">
        <v>1807</v>
      </c>
      <c r="B10" s="967"/>
      <c r="C10" s="958">
        <v>-213127</v>
      </c>
      <c r="H10" s="958">
        <f t="shared" si="0"/>
        <v>-213127</v>
      </c>
    </row>
    <row r="11" spans="1:8">
      <c r="A11" s="381" t="s">
        <v>1325</v>
      </c>
      <c r="B11" s="967"/>
      <c r="C11" s="958">
        <v>2188726</v>
      </c>
      <c r="D11" s="968"/>
      <c r="E11" s="968"/>
      <c r="F11" s="378"/>
      <c r="G11" s="378"/>
      <c r="H11" s="958">
        <f t="shared" si="0"/>
        <v>2188726</v>
      </c>
    </row>
    <row r="12" spans="1:8">
      <c r="A12" s="381" t="s">
        <v>1808</v>
      </c>
      <c r="B12" s="967"/>
      <c r="C12" s="968">
        <v>-15768616</v>
      </c>
      <c r="D12" s="968"/>
      <c r="E12" s="968"/>
      <c r="F12" s="968">
        <v>-64055.9956332</v>
      </c>
      <c r="G12" s="968">
        <v>-1539116.3866399997</v>
      </c>
      <c r="H12" s="958">
        <f t="shared" si="0"/>
        <v>-17371788.382273201</v>
      </c>
    </row>
    <row r="13" spans="1:8">
      <c r="A13" s="381" t="s">
        <v>1809</v>
      </c>
      <c r="B13" s="967"/>
      <c r="C13" s="958">
        <v>13447401</v>
      </c>
      <c r="D13" s="968"/>
      <c r="E13" s="378">
        <f>-'Rev Exp'!Q6</f>
        <v>1121328</v>
      </c>
      <c r="F13" s="968"/>
      <c r="G13" s="968"/>
      <c r="H13" s="958">
        <f t="shared" si="0"/>
        <v>14568729</v>
      </c>
    </row>
    <row r="14" spans="1:8">
      <c r="A14" s="381" t="s">
        <v>1810</v>
      </c>
      <c r="B14" s="967"/>
      <c r="C14" s="958">
        <v>0</v>
      </c>
      <c r="D14" s="968"/>
      <c r="E14" s="968"/>
      <c r="F14" s="968"/>
      <c r="G14" s="968"/>
      <c r="H14" s="958">
        <f t="shared" si="0"/>
        <v>0</v>
      </c>
    </row>
    <row r="15" spans="1:8">
      <c r="A15" s="969" t="s">
        <v>114</v>
      </c>
      <c r="B15" s="970"/>
      <c r="D15" s="968"/>
      <c r="E15" s="968"/>
      <c r="F15" s="968"/>
      <c r="G15" s="968"/>
      <c r="H15" s="958">
        <f t="shared" si="0"/>
        <v>0</v>
      </c>
    </row>
    <row r="16" spans="1:8">
      <c r="A16" s="381" t="s">
        <v>1804</v>
      </c>
      <c r="B16" s="971"/>
      <c r="C16" s="968">
        <v>-282000</v>
      </c>
      <c r="D16" s="968">
        <f>-'Rev Exp'!AG6</f>
        <v>-47074</v>
      </c>
      <c r="E16" s="968"/>
      <c r="F16" s="968"/>
      <c r="G16" s="968"/>
      <c r="H16" s="958">
        <f t="shared" si="0"/>
        <v>-329074</v>
      </c>
    </row>
    <row r="17" spans="1:8" ht="13.8" thickBot="1">
      <c r="A17" s="381" t="s">
        <v>1811</v>
      </c>
      <c r="B17" s="971"/>
      <c r="C17" s="968">
        <v>86774</v>
      </c>
      <c r="H17" s="958">
        <f t="shared" si="0"/>
        <v>86774</v>
      </c>
    </row>
    <row r="18" spans="1:8" ht="13.8" thickBot="1">
      <c r="A18" s="381" t="s">
        <v>1822</v>
      </c>
      <c r="B18" s="967"/>
      <c r="C18" s="972">
        <f t="shared" ref="C18:G18" si="1">SUM(C8:C17)</f>
        <v>-3455006</v>
      </c>
      <c r="D18" s="972">
        <f t="shared" si="1"/>
        <v>-47074</v>
      </c>
      <c r="E18" s="972">
        <f t="shared" si="1"/>
        <v>1121328</v>
      </c>
      <c r="F18" s="972">
        <f t="shared" si="1"/>
        <v>-64055.9956332</v>
      </c>
      <c r="G18" s="972">
        <f t="shared" si="1"/>
        <v>-1539116.3866399997</v>
      </c>
      <c r="H18" s="973">
        <f>SUM(H8:H17)</f>
        <v>-3983924.3822732009</v>
      </c>
    </row>
    <row r="19" spans="1:8">
      <c r="B19" s="967"/>
    </row>
    <row r="20" spans="1:8">
      <c r="A20" s="958" t="s">
        <v>1812</v>
      </c>
      <c r="B20" s="967"/>
      <c r="C20" s="958">
        <v>15768616</v>
      </c>
      <c r="D20" s="958">
        <f t="shared" ref="D20:G20" si="2">-D12</f>
        <v>0</v>
      </c>
      <c r="E20" s="958">
        <f t="shared" si="2"/>
        <v>0</v>
      </c>
      <c r="F20" s="958">
        <f t="shared" si="2"/>
        <v>64055.9956332</v>
      </c>
      <c r="G20" s="958">
        <f t="shared" si="2"/>
        <v>1539116.3866399997</v>
      </c>
      <c r="H20" s="958">
        <f>SUM(C20:G20)</f>
        <v>17371788.382273201</v>
      </c>
    </row>
    <row r="21" spans="1:8">
      <c r="A21" s="958" t="s">
        <v>1813</v>
      </c>
      <c r="B21" s="967"/>
      <c r="C21" s="958">
        <v>213127</v>
      </c>
      <c r="D21" s="958">
        <f t="shared" ref="D21:G21" si="3">-D10</f>
        <v>0</v>
      </c>
      <c r="E21" s="958">
        <f t="shared" si="3"/>
        <v>0</v>
      </c>
      <c r="F21" s="958">
        <f t="shared" si="3"/>
        <v>0</v>
      </c>
      <c r="G21" s="958">
        <f t="shared" si="3"/>
        <v>0</v>
      </c>
      <c r="H21" s="958">
        <f>SUM(C21:G21)</f>
        <v>213127</v>
      </c>
    </row>
    <row r="22" spans="1:8">
      <c r="A22" s="958" t="s">
        <v>1814</v>
      </c>
      <c r="B22" s="967"/>
      <c r="C22" s="958">
        <v>-18962045</v>
      </c>
      <c r="D22" s="958">
        <f t="shared" ref="D22:F23" si="4">-D20</f>
        <v>0</v>
      </c>
      <c r="E22" s="958">
        <f t="shared" si="4"/>
        <v>0</v>
      </c>
      <c r="F22" s="958">
        <f t="shared" si="4"/>
        <v>-64055.9956332</v>
      </c>
      <c r="G22" s="958">
        <f t="shared" ref="G22:G23" si="5">-G20</f>
        <v>-1539116.3866399997</v>
      </c>
      <c r="H22" s="958">
        <f>SUM(C22:G22)</f>
        <v>-20565217.382273201</v>
      </c>
    </row>
    <row r="23" spans="1:8">
      <c r="A23" s="958" t="s">
        <v>1815</v>
      </c>
      <c r="B23" s="967"/>
      <c r="C23" s="974">
        <v>-307827</v>
      </c>
      <c r="D23" s="974">
        <f t="shared" si="4"/>
        <v>0</v>
      </c>
      <c r="E23" s="974">
        <f t="shared" si="4"/>
        <v>0</v>
      </c>
      <c r="F23" s="974">
        <f t="shared" si="4"/>
        <v>0</v>
      </c>
      <c r="G23" s="974">
        <f t="shared" si="5"/>
        <v>0</v>
      </c>
      <c r="H23" s="974">
        <f>SUM(C23:G23)</f>
        <v>-307827</v>
      </c>
    </row>
    <row r="24" spans="1:8">
      <c r="A24" s="958" t="s">
        <v>1816</v>
      </c>
      <c r="B24" s="967"/>
      <c r="C24" s="958">
        <f t="shared" ref="C24:G24" si="6">SUM(C20:C23)</f>
        <v>-3288129</v>
      </c>
      <c r="D24" s="958">
        <f t="shared" si="6"/>
        <v>0</v>
      </c>
      <c r="E24" s="958">
        <f t="shared" si="6"/>
        <v>0</v>
      </c>
      <c r="F24" s="958">
        <f t="shared" si="6"/>
        <v>0</v>
      </c>
      <c r="G24" s="958">
        <f t="shared" si="6"/>
        <v>0</v>
      </c>
      <c r="H24" s="958">
        <f>SUM(H20:H23)</f>
        <v>-3288129</v>
      </c>
    </row>
    <row r="25" spans="1:8" ht="13.8" thickBot="1">
      <c r="B25" s="967"/>
    </row>
    <row r="26" spans="1:8" ht="13.8" thickBot="1">
      <c r="A26" s="958" t="s">
        <v>1817</v>
      </c>
      <c r="B26" s="967"/>
      <c r="C26" s="958">
        <f>C18+C24</f>
        <v>-6743135</v>
      </c>
      <c r="D26" s="958">
        <f t="shared" ref="D26:F26" si="7">D18+D24</f>
        <v>-47074</v>
      </c>
      <c r="E26" s="958">
        <f t="shared" si="7"/>
        <v>1121328</v>
      </c>
      <c r="F26" s="958">
        <f t="shared" si="7"/>
        <v>-64055.9956332</v>
      </c>
      <c r="G26" s="958">
        <f>G18+G24</f>
        <v>-1539116.3866399997</v>
      </c>
      <c r="H26" s="973">
        <f>H18+H24</f>
        <v>-7272053.3822732009</v>
      </c>
    </row>
  </sheetData>
  <mergeCells count="6">
    <mergeCell ref="A1:H1"/>
    <mergeCell ref="A2:H2"/>
    <mergeCell ref="C5:C6"/>
    <mergeCell ref="D5:E5"/>
    <mergeCell ref="F5:G5"/>
    <mergeCell ref="H5:H6"/>
  </mergeCells>
  <pageMargins left="0" right="0" top="0.75" bottom="0.75" header="0.3" footer="0.3"/>
  <pageSetup scale="9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FA80-234C-4862-9C05-9935F010C0F8}">
  <sheetPr>
    <tabColor rgb="FF00B0F0"/>
    <pageSetUpPr fitToPage="1"/>
  </sheetPr>
  <dimension ref="A1:H28"/>
  <sheetViews>
    <sheetView workbookViewId="0">
      <selection sqref="A1:F1"/>
    </sheetView>
  </sheetViews>
  <sheetFormatPr defaultColWidth="12.88671875" defaultRowHeight="13.2"/>
  <cols>
    <col min="1" max="1" width="7.6640625" customWidth="1"/>
    <col min="2" max="2" width="5.6640625" customWidth="1"/>
    <col min="3" max="3" width="5.33203125" bestFit="1" customWidth="1"/>
    <col min="4" max="4" width="6.5546875" bestFit="1" customWidth="1"/>
    <col min="5" max="5" width="11.33203125" bestFit="1" customWidth="1"/>
    <col min="6" max="6" width="9.33203125" bestFit="1" customWidth="1"/>
    <col min="7" max="7" width="37" bestFit="1" customWidth="1"/>
  </cols>
  <sheetData>
    <row r="1" spans="1:8" ht="13.8">
      <c r="A1" s="408" t="s">
        <v>1701</v>
      </c>
    </row>
    <row r="2" spans="1:8" ht="13.8">
      <c r="A2" s="408" t="s">
        <v>544</v>
      </c>
    </row>
    <row r="3" spans="1:8">
      <c r="A3" s="409" t="s">
        <v>1702</v>
      </c>
    </row>
    <row r="5" spans="1:8">
      <c r="A5" s="343"/>
      <c r="B5" s="344" t="s">
        <v>1703</v>
      </c>
    </row>
    <row r="6" spans="1:8">
      <c r="A6" s="410" t="s">
        <v>368</v>
      </c>
      <c r="B6" s="344" t="s">
        <v>635</v>
      </c>
    </row>
    <row r="7" spans="1:8">
      <c r="A7" s="410" t="s">
        <v>368</v>
      </c>
      <c r="B7" s="344" t="s">
        <v>1704</v>
      </c>
    </row>
    <row r="8" spans="1:8">
      <c r="A8" s="410" t="s">
        <v>368</v>
      </c>
      <c r="B8" s="344" t="s">
        <v>1705</v>
      </c>
    </row>
    <row r="9" spans="1:8">
      <c r="A9" s="344" t="s">
        <v>367</v>
      </c>
    </row>
    <row r="10" spans="1:8">
      <c r="A10" s="412" t="s">
        <v>1706</v>
      </c>
      <c r="B10" s="928" t="s">
        <v>1707</v>
      </c>
      <c r="C10" s="928" t="s">
        <v>493</v>
      </c>
      <c r="D10" s="928" t="s">
        <v>495</v>
      </c>
      <c r="E10" s="412" t="s">
        <v>1708</v>
      </c>
      <c r="F10" s="412" t="s">
        <v>1709</v>
      </c>
      <c r="G10" s="412" t="s">
        <v>1710</v>
      </c>
      <c r="H10" s="1118" t="s">
        <v>690</v>
      </c>
    </row>
    <row r="11" spans="1:8">
      <c r="A11" s="414" t="s">
        <v>1711</v>
      </c>
      <c r="B11" s="929" t="s">
        <v>640</v>
      </c>
      <c r="C11" s="929" t="s">
        <v>1712</v>
      </c>
      <c r="D11" s="929" t="s">
        <v>1713</v>
      </c>
      <c r="E11" s="414" t="s">
        <v>1714</v>
      </c>
      <c r="F11" s="414" t="s">
        <v>1715</v>
      </c>
      <c r="G11" s="414" t="s">
        <v>1716</v>
      </c>
      <c r="H11" s="1119">
        <v>4228.0200000000004</v>
      </c>
    </row>
    <row r="12" spans="1:8">
      <c r="A12" s="414" t="s">
        <v>1717</v>
      </c>
      <c r="B12" s="929" t="s">
        <v>640</v>
      </c>
      <c r="C12" s="929" t="s">
        <v>1712</v>
      </c>
      <c r="D12" s="929" t="s">
        <v>1713</v>
      </c>
      <c r="E12" s="414" t="s">
        <v>1714</v>
      </c>
      <c r="F12" s="414" t="s">
        <v>1715</v>
      </c>
      <c r="G12" s="414" t="s">
        <v>1718</v>
      </c>
      <c r="H12" s="1119">
        <v>4228.0200000000004</v>
      </c>
    </row>
    <row r="13" spans="1:8">
      <c r="A13" s="414" t="s">
        <v>1719</v>
      </c>
      <c r="B13" s="929" t="s">
        <v>640</v>
      </c>
      <c r="C13" s="929" t="s">
        <v>1712</v>
      </c>
      <c r="D13" s="929" t="s">
        <v>1713</v>
      </c>
      <c r="E13" s="414" t="s">
        <v>1714</v>
      </c>
      <c r="F13" s="414" t="s">
        <v>1715</v>
      </c>
      <c r="G13" s="414" t="s">
        <v>1720</v>
      </c>
      <c r="H13" s="1119">
        <v>4228.0200000000004</v>
      </c>
    </row>
    <row r="14" spans="1:8">
      <c r="A14" s="414" t="s">
        <v>1721</v>
      </c>
      <c r="B14" s="929" t="s">
        <v>640</v>
      </c>
      <c r="C14" s="929" t="s">
        <v>1712</v>
      </c>
      <c r="D14" s="929" t="s">
        <v>1713</v>
      </c>
      <c r="E14" s="414" t="s">
        <v>1714</v>
      </c>
      <c r="F14" s="414" t="s">
        <v>1715</v>
      </c>
      <c r="G14" s="414" t="s">
        <v>1722</v>
      </c>
      <c r="H14" s="1119">
        <v>4228.0200000000004</v>
      </c>
    </row>
    <row r="15" spans="1:8">
      <c r="A15" s="414" t="s">
        <v>1723</v>
      </c>
      <c r="B15" s="929" t="s">
        <v>640</v>
      </c>
      <c r="C15" s="929" t="s">
        <v>1712</v>
      </c>
      <c r="D15" s="929" t="s">
        <v>1713</v>
      </c>
      <c r="E15" s="414" t="s">
        <v>1714</v>
      </c>
      <c r="F15" s="414" t="s">
        <v>1715</v>
      </c>
      <c r="G15" s="414" t="s">
        <v>1724</v>
      </c>
      <c r="H15" s="1119">
        <v>4228.0200000000004</v>
      </c>
    </row>
    <row r="16" spans="1:8">
      <c r="A16" s="414" t="s">
        <v>639</v>
      </c>
      <c r="B16" s="929" t="s">
        <v>640</v>
      </c>
      <c r="C16" s="929" t="s">
        <v>1712</v>
      </c>
      <c r="D16" s="929" t="s">
        <v>1713</v>
      </c>
      <c r="E16" s="414" t="s">
        <v>1714</v>
      </c>
      <c r="F16" s="414" t="s">
        <v>1715</v>
      </c>
      <c r="G16" s="414" t="s">
        <v>1725</v>
      </c>
      <c r="H16" s="1119">
        <v>4228.0200000000004</v>
      </c>
    </row>
    <row r="17" spans="1:8">
      <c r="A17" s="414" t="s">
        <v>1726</v>
      </c>
      <c r="B17" s="929" t="s">
        <v>640</v>
      </c>
      <c r="C17" s="929" t="s">
        <v>1712</v>
      </c>
      <c r="D17" s="929" t="s">
        <v>1713</v>
      </c>
      <c r="E17" s="414" t="s">
        <v>1714</v>
      </c>
      <c r="F17" s="414" t="s">
        <v>1715</v>
      </c>
      <c r="G17" s="414" t="s">
        <v>1727</v>
      </c>
      <c r="H17" s="1119">
        <v>4768.12</v>
      </c>
    </row>
    <row r="18" spans="1:8">
      <c r="A18" s="414" t="s">
        <v>1728</v>
      </c>
      <c r="B18" s="929" t="s">
        <v>640</v>
      </c>
      <c r="C18" s="929" t="s">
        <v>1712</v>
      </c>
      <c r="D18" s="929" t="s">
        <v>1713</v>
      </c>
      <c r="E18" s="414" t="s">
        <v>1714</v>
      </c>
      <c r="F18" s="414" t="s">
        <v>1715</v>
      </c>
      <c r="G18" s="414" t="s">
        <v>1729</v>
      </c>
      <c r="H18" s="1119">
        <v>4768.12</v>
      </c>
    </row>
    <row r="19" spans="1:8">
      <c r="A19" s="414" t="s">
        <v>1730</v>
      </c>
      <c r="B19" s="929" t="s">
        <v>640</v>
      </c>
      <c r="C19" s="929" t="s">
        <v>1712</v>
      </c>
      <c r="D19" s="929" t="s">
        <v>1713</v>
      </c>
      <c r="E19" s="414" t="s">
        <v>1714</v>
      </c>
      <c r="F19" s="414" t="s">
        <v>1715</v>
      </c>
      <c r="G19" s="414" t="s">
        <v>1731</v>
      </c>
      <c r="H19" s="1119">
        <v>4768.12</v>
      </c>
    </row>
    <row r="20" spans="1:8">
      <c r="A20" s="414" t="s">
        <v>1732</v>
      </c>
      <c r="B20" s="929" t="s">
        <v>640</v>
      </c>
      <c r="C20" s="929" t="s">
        <v>1712</v>
      </c>
      <c r="D20" s="929" t="s">
        <v>1713</v>
      </c>
      <c r="E20" s="414" t="s">
        <v>1714</v>
      </c>
      <c r="F20" s="414" t="s">
        <v>1715</v>
      </c>
      <c r="G20" s="414" t="s">
        <v>1733</v>
      </c>
      <c r="H20" s="1119">
        <v>4768.12</v>
      </c>
    </row>
    <row r="21" spans="1:8">
      <c r="A21" s="414" t="s">
        <v>1734</v>
      </c>
      <c r="B21" s="929" t="s">
        <v>640</v>
      </c>
      <c r="C21" s="929" t="s">
        <v>1712</v>
      </c>
      <c r="D21" s="929" t="s">
        <v>1713</v>
      </c>
      <c r="E21" s="414" t="s">
        <v>1714</v>
      </c>
      <c r="F21" s="414" t="s">
        <v>1715</v>
      </c>
      <c r="G21" s="414" t="s">
        <v>1735</v>
      </c>
      <c r="H21" s="1119">
        <v>4768.12</v>
      </c>
    </row>
    <row r="22" spans="1:8">
      <c r="A22" s="414" t="s">
        <v>1736</v>
      </c>
      <c r="B22" s="929" t="s">
        <v>640</v>
      </c>
      <c r="C22" s="929" t="s">
        <v>1712</v>
      </c>
      <c r="D22" s="929" t="s">
        <v>1713</v>
      </c>
      <c r="E22" s="414" t="s">
        <v>1714</v>
      </c>
      <c r="F22" s="414" t="s">
        <v>1715</v>
      </c>
      <c r="G22" s="414" t="s">
        <v>1737</v>
      </c>
      <c r="H22" s="1119">
        <v>4768.12</v>
      </c>
    </row>
    <row r="23" spans="1:8">
      <c r="A23" s="415" t="s">
        <v>43</v>
      </c>
      <c r="B23" s="416"/>
      <c r="C23" s="416"/>
      <c r="D23" s="416"/>
      <c r="E23" s="416"/>
      <c r="F23" s="416"/>
      <c r="G23" s="416"/>
      <c r="H23" s="1120">
        <v>53976.84</v>
      </c>
    </row>
    <row r="24" spans="1:8">
      <c r="A24" s="343" t="s">
        <v>367</v>
      </c>
    </row>
    <row r="25" spans="1:8">
      <c r="A25" s="930"/>
      <c r="B25" s="930"/>
      <c r="C25" s="930"/>
      <c r="D25" s="930"/>
      <c r="E25" s="930"/>
      <c r="F25" s="930"/>
      <c r="G25" s="930"/>
      <c r="H25" s="930"/>
    </row>
    <row r="26" spans="1:8">
      <c r="A26" s="343" t="s">
        <v>367</v>
      </c>
    </row>
    <row r="27" spans="1:8">
      <c r="A27" s="344"/>
      <c r="B27" s="343"/>
      <c r="C27" s="411"/>
    </row>
    <row r="28" spans="1:8">
      <c r="A28" s="343" t="s">
        <v>367</v>
      </c>
    </row>
  </sheetData>
  <pageMargins left="0.7" right="0.7" top="0.75" bottom="0.75" header="0.3" footer="0.3"/>
  <pageSetup scale="95" fitToHeight="0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 tint="0.39997558519241921"/>
    <pageSetUpPr fitToPage="1"/>
  </sheetPr>
  <dimension ref="A1:J53"/>
  <sheetViews>
    <sheetView topLeftCell="C1" zoomScale="90" zoomScaleNormal="90" workbookViewId="0">
      <selection sqref="A1:F1"/>
    </sheetView>
  </sheetViews>
  <sheetFormatPr defaultColWidth="9.109375" defaultRowHeight="13.2"/>
  <cols>
    <col min="1" max="1" width="11" style="377" hidden="1" customWidth="1"/>
    <col min="2" max="2" width="7.6640625" style="377" hidden="1" customWidth="1"/>
    <col min="3" max="3" width="29.33203125" style="377" bestFit="1" customWidth="1"/>
    <col min="4" max="4" width="20.5546875" style="378" customWidth="1"/>
    <col min="5" max="5" width="20.5546875" style="379" customWidth="1"/>
    <col min="6" max="6" width="20.5546875" style="380" customWidth="1"/>
    <col min="7" max="7" width="20.5546875" style="383" customWidth="1"/>
    <col min="8" max="8" width="20.5546875" style="379" customWidth="1"/>
    <col min="9" max="9" width="20.5546875" style="381" customWidth="1"/>
    <col min="10" max="10" width="12.109375" style="377" bestFit="1" customWidth="1"/>
    <col min="11" max="158" width="9.109375" style="377"/>
    <col min="159" max="159" width="32.88671875" style="377" customWidth="1"/>
    <col min="160" max="160" width="16.33203125" style="377" customWidth="1"/>
    <col min="161" max="161" width="19.5546875" style="377" customWidth="1"/>
    <col min="162" max="162" width="18.5546875" style="377" customWidth="1"/>
    <col min="163" max="163" width="16.88671875" style="377" customWidth="1"/>
    <col min="164" max="164" width="21.109375" style="377" customWidth="1"/>
    <col min="165" max="165" width="14.33203125" style="377" customWidth="1"/>
    <col min="166" max="166" width="14.109375" style="377" bestFit="1" customWidth="1"/>
    <col min="167" max="167" width="16.33203125" style="377" customWidth="1"/>
    <col min="168" max="168" width="16.44140625" style="377" customWidth="1"/>
    <col min="169" max="169" width="9.109375" style="377"/>
    <col min="170" max="170" width="31.44140625" style="377" customWidth="1"/>
    <col min="171" max="414" width="9.109375" style="377"/>
    <col min="415" max="415" width="32.88671875" style="377" customWidth="1"/>
    <col min="416" max="416" width="16.33203125" style="377" customWidth="1"/>
    <col min="417" max="417" width="19.5546875" style="377" customWidth="1"/>
    <col min="418" max="418" width="18.5546875" style="377" customWidth="1"/>
    <col min="419" max="419" width="16.88671875" style="377" customWidth="1"/>
    <col min="420" max="420" width="21.109375" style="377" customWidth="1"/>
    <col min="421" max="421" width="14.33203125" style="377" customWidth="1"/>
    <col min="422" max="422" width="14.109375" style="377" bestFit="1" customWidth="1"/>
    <col min="423" max="423" width="16.33203125" style="377" customWidth="1"/>
    <col min="424" max="424" width="16.44140625" style="377" customWidth="1"/>
    <col min="425" max="425" width="9.109375" style="377"/>
    <col min="426" max="426" width="31.44140625" style="377" customWidth="1"/>
    <col min="427" max="670" width="9.109375" style="377"/>
    <col min="671" max="671" width="32.88671875" style="377" customWidth="1"/>
    <col min="672" max="672" width="16.33203125" style="377" customWidth="1"/>
    <col min="673" max="673" width="19.5546875" style="377" customWidth="1"/>
    <col min="674" max="674" width="18.5546875" style="377" customWidth="1"/>
    <col min="675" max="675" width="16.88671875" style="377" customWidth="1"/>
    <col min="676" max="676" width="21.109375" style="377" customWidth="1"/>
    <col min="677" max="677" width="14.33203125" style="377" customWidth="1"/>
    <col min="678" max="678" width="14.109375" style="377" bestFit="1" customWidth="1"/>
    <col min="679" max="679" width="16.33203125" style="377" customWidth="1"/>
    <col min="680" max="680" width="16.44140625" style="377" customWidth="1"/>
    <col min="681" max="681" width="9.109375" style="377"/>
    <col min="682" max="682" width="31.44140625" style="377" customWidth="1"/>
    <col min="683" max="926" width="9.109375" style="377"/>
    <col min="927" max="927" width="32.88671875" style="377" customWidth="1"/>
    <col min="928" max="928" width="16.33203125" style="377" customWidth="1"/>
    <col min="929" max="929" width="19.5546875" style="377" customWidth="1"/>
    <col min="930" max="930" width="18.5546875" style="377" customWidth="1"/>
    <col min="931" max="931" width="16.88671875" style="377" customWidth="1"/>
    <col min="932" max="932" width="21.109375" style="377" customWidth="1"/>
    <col min="933" max="933" width="14.33203125" style="377" customWidth="1"/>
    <col min="934" max="934" width="14.109375" style="377" bestFit="1" customWidth="1"/>
    <col min="935" max="935" width="16.33203125" style="377" customWidth="1"/>
    <col min="936" max="936" width="16.44140625" style="377" customWidth="1"/>
    <col min="937" max="937" width="9.109375" style="377"/>
    <col min="938" max="938" width="31.44140625" style="377" customWidth="1"/>
    <col min="939" max="1182" width="9.109375" style="377"/>
    <col min="1183" max="1183" width="32.88671875" style="377" customWidth="1"/>
    <col min="1184" max="1184" width="16.33203125" style="377" customWidth="1"/>
    <col min="1185" max="1185" width="19.5546875" style="377" customWidth="1"/>
    <col min="1186" max="1186" width="18.5546875" style="377" customWidth="1"/>
    <col min="1187" max="1187" width="16.88671875" style="377" customWidth="1"/>
    <col min="1188" max="1188" width="21.109375" style="377" customWidth="1"/>
    <col min="1189" max="1189" width="14.33203125" style="377" customWidth="1"/>
    <col min="1190" max="1190" width="14.109375" style="377" bestFit="1" customWidth="1"/>
    <col min="1191" max="1191" width="16.33203125" style="377" customWidth="1"/>
    <col min="1192" max="1192" width="16.44140625" style="377" customWidth="1"/>
    <col min="1193" max="1193" width="9.109375" style="377"/>
    <col min="1194" max="1194" width="31.44140625" style="377" customWidth="1"/>
    <col min="1195" max="1438" width="9.109375" style="377"/>
    <col min="1439" max="1439" width="32.88671875" style="377" customWidth="1"/>
    <col min="1440" max="1440" width="16.33203125" style="377" customWidth="1"/>
    <col min="1441" max="1441" width="19.5546875" style="377" customWidth="1"/>
    <col min="1442" max="1442" width="18.5546875" style="377" customWidth="1"/>
    <col min="1443" max="1443" width="16.88671875" style="377" customWidth="1"/>
    <col min="1444" max="1444" width="21.109375" style="377" customWidth="1"/>
    <col min="1445" max="1445" width="14.33203125" style="377" customWidth="1"/>
    <col min="1446" max="1446" width="14.109375" style="377" bestFit="1" customWidth="1"/>
    <col min="1447" max="1447" width="16.33203125" style="377" customWidth="1"/>
    <col min="1448" max="1448" width="16.44140625" style="377" customWidth="1"/>
    <col min="1449" max="1449" width="9.109375" style="377"/>
    <col min="1450" max="1450" width="31.44140625" style="377" customWidth="1"/>
    <col min="1451" max="1694" width="9.109375" style="377"/>
    <col min="1695" max="1695" width="32.88671875" style="377" customWidth="1"/>
    <col min="1696" max="1696" width="16.33203125" style="377" customWidth="1"/>
    <col min="1697" max="1697" width="19.5546875" style="377" customWidth="1"/>
    <col min="1698" max="1698" width="18.5546875" style="377" customWidth="1"/>
    <col min="1699" max="1699" width="16.88671875" style="377" customWidth="1"/>
    <col min="1700" max="1700" width="21.109375" style="377" customWidth="1"/>
    <col min="1701" max="1701" width="14.33203125" style="377" customWidth="1"/>
    <col min="1702" max="1702" width="14.109375" style="377" bestFit="1" customWidth="1"/>
    <col min="1703" max="1703" width="16.33203125" style="377" customWidth="1"/>
    <col min="1704" max="1704" width="16.44140625" style="377" customWidth="1"/>
    <col min="1705" max="1705" width="9.109375" style="377"/>
    <col min="1706" max="1706" width="31.44140625" style="377" customWidth="1"/>
    <col min="1707" max="1950" width="9.109375" style="377"/>
    <col min="1951" max="1951" width="32.88671875" style="377" customWidth="1"/>
    <col min="1952" max="1952" width="16.33203125" style="377" customWidth="1"/>
    <col min="1953" max="1953" width="19.5546875" style="377" customWidth="1"/>
    <col min="1954" max="1954" width="18.5546875" style="377" customWidth="1"/>
    <col min="1955" max="1955" width="16.88671875" style="377" customWidth="1"/>
    <col min="1956" max="1956" width="21.109375" style="377" customWidth="1"/>
    <col min="1957" max="1957" width="14.33203125" style="377" customWidth="1"/>
    <col min="1958" max="1958" width="14.109375" style="377" bestFit="1" customWidth="1"/>
    <col min="1959" max="1959" width="16.33203125" style="377" customWidth="1"/>
    <col min="1960" max="1960" width="16.44140625" style="377" customWidth="1"/>
    <col min="1961" max="1961" width="9.109375" style="377"/>
    <col min="1962" max="1962" width="31.44140625" style="377" customWidth="1"/>
    <col min="1963" max="2206" width="9.109375" style="377"/>
    <col min="2207" max="2207" width="32.88671875" style="377" customWidth="1"/>
    <col min="2208" max="2208" width="16.33203125" style="377" customWidth="1"/>
    <col min="2209" max="2209" width="19.5546875" style="377" customWidth="1"/>
    <col min="2210" max="2210" width="18.5546875" style="377" customWidth="1"/>
    <col min="2211" max="2211" width="16.88671875" style="377" customWidth="1"/>
    <col min="2212" max="2212" width="21.109375" style="377" customWidth="1"/>
    <col min="2213" max="2213" width="14.33203125" style="377" customWidth="1"/>
    <col min="2214" max="2214" width="14.109375" style="377" bestFit="1" customWidth="1"/>
    <col min="2215" max="2215" width="16.33203125" style="377" customWidth="1"/>
    <col min="2216" max="2216" width="16.44140625" style="377" customWidth="1"/>
    <col min="2217" max="2217" width="9.109375" style="377"/>
    <col min="2218" max="2218" width="31.44140625" style="377" customWidth="1"/>
    <col min="2219" max="2462" width="9.109375" style="377"/>
    <col min="2463" max="2463" width="32.88671875" style="377" customWidth="1"/>
    <col min="2464" max="2464" width="16.33203125" style="377" customWidth="1"/>
    <col min="2465" max="2465" width="19.5546875" style="377" customWidth="1"/>
    <col min="2466" max="2466" width="18.5546875" style="377" customWidth="1"/>
    <col min="2467" max="2467" width="16.88671875" style="377" customWidth="1"/>
    <col min="2468" max="2468" width="21.109375" style="377" customWidth="1"/>
    <col min="2469" max="2469" width="14.33203125" style="377" customWidth="1"/>
    <col min="2470" max="2470" width="14.109375" style="377" bestFit="1" customWidth="1"/>
    <col min="2471" max="2471" width="16.33203125" style="377" customWidth="1"/>
    <col min="2472" max="2472" width="16.44140625" style="377" customWidth="1"/>
    <col min="2473" max="2473" width="9.109375" style="377"/>
    <col min="2474" max="2474" width="31.44140625" style="377" customWidth="1"/>
    <col min="2475" max="2718" width="9.109375" style="377"/>
    <col min="2719" max="2719" width="32.88671875" style="377" customWidth="1"/>
    <col min="2720" max="2720" width="16.33203125" style="377" customWidth="1"/>
    <col min="2721" max="2721" width="19.5546875" style="377" customWidth="1"/>
    <col min="2722" max="2722" width="18.5546875" style="377" customWidth="1"/>
    <col min="2723" max="2723" width="16.88671875" style="377" customWidth="1"/>
    <col min="2724" max="2724" width="21.109375" style="377" customWidth="1"/>
    <col min="2725" max="2725" width="14.33203125" style="377" customWidth="1"/>
    <col min="2726" max="2726" width="14.109375" style="377" bestFit="1" customWidth="1"/>
    <col min="2727" max="2727" width="16.33203125" style="377" customWidth="1"/>
    <col min="2728" max="2728" width="16.44140625" style="377" customWidth="1"/>
    <col min="2729" max="2729" width="9.109375" style="377"/>
    <col min="2730" max="2730" width="31.44140625" style="377" customWidth="1"/>
    <col min="2731" max="2974" width="9.109375" style="377"/>
    <col min="2975" max="2975" width="32.88671875" style="377" customWidth="1"/>
    <col min="2976" max="2976" width="16.33203125" style="377" customWidth="1"/>
    <col min="2977" max="2977" width="19.5546875" style="377" customWidth="1"/>
    <col min="2978" max="2978" width="18.5546875" style="377" customWidth="1"/>
    <col min="2979" max="2979" width="16.88671875" style="377" customWidth="1"/>
    <col min="2980" max="2980" width="21.109375" style="377" customWidth="1"/>
    <col min="2981" max="2981" width="14.33203125" style="377" customWidth="1"/>
    <col min="2982" max="2982" width="14.109375" style="377" bestFit="1" customWidth="1"/>
    <col min="2983" max="2983" width="16.33203125" style="377" customWidth="1"/>
    <col min="2984" max="2984" width="16.44140625" style="377" customWidth="1"/>
    <col min="2985" max="2985" width="9.109375" style="377"/>
    <col min="2986" max="2986" width="31.44140625" style="377" customWidth="1"/>
    <col min="2987" max="3230" width="9.109375" style="377"/>
    <col min="3231" max="3231" width="32.88671875" style="377" customWidth="1"/>
    <col min="3232" max="3232" width="16.33203125" style="377" customWidth="1"/>
    <col min="3233" max="3233" width="19.5546875" style="377" customWidth="1"/>
    <col min="3234" max="3234" width="18.5546875" style="377" customWidth="1"/>
    <col min="3235" max="3235" width="16.88671875" style="377" customWidth="1"/>
    <col min="3236" max="3236" width="21.109375" style="377" customWidth="1"/>
    <col min="3237" max="3237" width="14.33203125" style="377" customWidth="1"/>
    <col min="3238" max="3238" width="14.109375" style="377" bestFit="1" customWidth="1"/>
    <col min="3239" max="3239" width="16.33203125" style="377" customWidth="1"/>
    <col min="3240" max="3240" width="16.44140625" style="377" customWidth="1"/>
    <col min="3241" max="3241" width="9.109375" style="377"/>
    <col min="3242" max="3242" width="31.44140625" style="377" customWidth="1"/>
    <col min="3243" max="3486" width="9.109375" style="377"/>
    <col min="3487" max="3487" width="32.88671875" style="377" customWidth="1"/>
    <col min="3488" max="3488" width="16.33203125" style="377" customWidth="1"/>
    <col min="3489" max="3489" width="19.5546875" style="377" customWidth="1"/>
    <col min="3490" max="3490" width="18.5546875" style="377" customWidth="1"/>
    <col min="3491" max="3491" width="16.88671875" style="377" customWidth="1"/>
    <col min="3492" max="3492" width="21.109375" style="377" customWidth="1"/>
    <col min="3493" max="3493" width="14.33203125" style="377" customWidth="1"/>
    <col min="3494" max="3494" width="14.109375" style="377" bestFit="1" customWidth="1"/>
    <col min="3495" max="3495" width="16.33203125" style="377" customWidth="1"/>
    <col min="3496" max="3496" width="16.44140625" style="377" customWidth="1"/>
    <col min="3497" max="3497" width="9.109375" style="377"/>
    <col min="3498" max="3498" width="31.44140625" style="377" customWidth="1"/>
    <col min="3499" max="3742" width="9.109375" style="377"/>
    <col min="3743" max="3743" width="32.88671875" style="377" customWidth="1"/>
    <col min="3744" max="3744" width="16.33203125" style="377" customWidth="1"/>
    <col min="3745" max="3745" width="19.5546875" style="377" customWidth="1"/>
    <col min="3746" max="3746" width="18.5546875" style="377" customWidth="1"/>
    <col min="3747" max="3747" width="16.88671875" style="377" customWidth="1"/>
    <col min="3748" max="3748" width="21.109375" style="377" customWidth="1"/>
    <col min="3749" max="3749" width="14.33203125" style="377" customWidth="1"/>
    <col min="3750" max="3750" width="14.109375" style="377" bestFit="1" customWidth="1"/>
    <col min="3751" max="3751" width="16.33203125" style="377" customWidth="1"/>
    <col min="3752" max="3752" width="16.44140625" style="377" customWidth="1"/>
    <col min="3753" max="3753" width="9.109375" style="377"/>
    <col min="3754" max="3754" width="31.44140625" style="377" customWidth="1"/>
    <col min="3755" max="3998" width="9.109375" style="377"/>
    <col min="3999" max="3999" width="32.88671875" style="377" customWidth="1"/>
    <col min="4000" max="4000" width="16.33203125" style="377" customWidth="1"/>
    <col min="4001" max="4001" width="19.5546875" style="377" customWidth="1"/>
    <col min="4002" max="4002" width="18.5546875" style="377" customWidth="1"/>
    <col min="4003" max="4003" width="16.88671875" style="377" customWidth="1"/>
    <col min="4004" max="4004" width="21.109375" style="377" customWidth="1"/>
    <col min="4005" max="4005" width="14.33203125" style="377" customWidth="1"/>
    <col min="4006" max="4006" width="14.109375" style="377" bestFit="1" customWidth="1"/>
    <col min="4007" max="4007" width="16.33203125" style="377" customWidth="1"/>
    <col min="4008" max="4008" width="16.44140625" style="377" customWidth="1"/>
    <col min="4009" max="4009" width="9.109375" style="377"/>
    <col min="4010" max="4010" width="31.44140625" style="377" customWidth="1"/>
    <col min="4011" max="4254" width="9.109375" style="377"/>
    <col min="4255" max="4255" width="32.88671875" style="377" customWidth="1"/>
    <col min="4256" max="4256" width="16.33203125" style="377" customWidth="1"/>
    <col min="4257" max="4257" width="19.5546875" style="377" customWidth="1"/>
    <col min="4258" max="4258" width="18.5546875" style="377" customWidth="1"/>
    <col min="4259" max="4259" width="16.88671875" style="377" customWidth="1"/>
    <col min="4260" max="4260" width="21.109375" style="377" customWidth="1"/>
    <col min="4261" max="4261" width="14.33203125" style="377" customWidth="1"/>
    <col min="4262" max="4262" width="14.109375" style="377" bestFit="1" customWidth="1"/>
    <col min="4263" max="4263" width="16.33203125" style="377" customWidth="1"/>
    <col min="4264" max="4264" width="16.44140625" style="377" customWidth="1"/>
    <col min="4265" max="4265" width="9.109375" style="377"/>
    <col min="4266" max="4266" width="31.44140625" style="377" customWidth="1"/>
    <col min="4267" max="4510" width="9.109375" style="377"/>
    <col min="4511" max="4511" width="32.88671875" style="377" customWidth="1"/>
    <col min="4512" max="4512" width="16.33203125" style="377" customWidth="1"/>
    <col min="4513" max="4513" width="19.5546875" style="377" customWidth="1"/>
    <col min="4514" max="4514" width="18.5546875" style="377" customWidth="1"/>
    <col min="4515" max="4515" width="16.88671875" style="377" customWidth="1"/>
    <col min="4516" max="4516" width="21.109375" style="377" customWidth="1"/>
    <col min="4517" max="4517" width="14.33203125" style="377" customWidth="1"/>
    <col min="4518" max="4518" width="14.109375" style="377" bestFit="1" customWidth="1"/>
    <col min="4519" max="4519" width="16.33203125" style="377" customWidth="1"/>
    <col min="4520" max="4520" width="16.44140625" style="377" customWidth="1"/>
    <col min="4521" max="4521" width="9.109375" style="377"/>
    <col min="4522" max="4522" width="31.44140625" style="377" customWidth="1"/>
    <col min="4523" max="4766" width="9.109375" style="377"/>
    <col min="4767" max="4767" width="32.88671875" style="377" customWidth="1"/>
    <col min="4768" max="4768" width="16.33203125" style="377" customWidth="1"/>
    <col min="4769" max="4769" width="19.5546875" style="377" customWidth="1"/>
    <col min="4770" max="4770" width="18.5546875" style="377" customWidth="1"/>
    <col min="4771" max="4771" width="16.88671875" style="377" customWidth="1"/>
    <col min="4772" max="4772" width="21.109375" style="377" customWidth="1"/>
    <col min="4773" max="4773" width="14.33203125" style="377" customWidth="1"/>
    <col min="4774" max="4774" width="14.109375" style="377" bestFit="1" customWidth="1"/>
    <col min="4775" max="4775" width="16.33203125" style="377" customWidth="1"/>
    <col min="4776" max="4776" width="16.44140625" style="377" customWidth="1"/>
    <col min="4777" max="4777" width="9.109375" style="377"/>
    <col min="4778" max="4778" width="31.44140625" style="377" customWidth="1"/>
    <col min="4779" max="5022" width="9.109375" style="377"/>
    <col min="5023" max="5023" width="32.88671875" style="377" customWidth="1"/>
    <col min="5024" max="5024" width="16.33203125" style="377" customWidth="1"/>
    <col min="5025" max="5025" width="19.5546875" style="377" customWidth="1"/>
    <col min="5026" max="5026" width="18.5546875" style="377" customWidth="1"/>
    <col min="5027" max="5027" width="16.88671875" style="377" customWidth="1"/>
    <col min="5028" max="5028" width="21.109375" style="377" customWidth="1"/>
    <col min="5029" max="5029" width="14.33203125" style="377" customWidth="1"/>
    <col min="5030" max="5030" width="14.109375" style="377" bestFit="1" customWidth="1"/>
    <col min="5031" max="5031" width="16.33203125" style="377" customWidth="1"/>
    <col min="5032" max="5032" width="16.44140625" style="377" customWidth="1"/>
    <col min="5033" max="5033" width="9.109375" style="377"/>
    <col min="5034" max="5034" width="31.44140625" style="377" customWidth="1"/>
    <col min="5035" max="5278" width="9.109375" style="377"/>
    <col min="5279" max="5279" width="32.88671875" style="377" customWidth="1"/>
    <col min="5280" max="5280" width="16.33203125" style="377" customWidth="1"/>
    <col min="5281" max="5281" width="19.5546875" style="377" customWidth="1"/>
    <col min="5282" max="5282" width="18.5546875" style="377" customWidth="1"/>
    <col min="5283" max="5283" width="16.88671875" style="377" customWidth="1"/>
    <col min="5284" max="5284" width="21.109375" style="377" customWidth="1"/>
    <col min="5285" max="5285" width="14.33203125" style="377" customWidth="1"/>
    <col min="5286" max="5286" width="14.109375" style="377" bestFit="1" customWidth="1"/>
    <col min="5287" max="5287" width="16.33203125" style="377" customWidth="1"/>
    <col min="5288" max="5288" width="16.44140625" style="377" customWidth="1"/>
    <col min="5289" max="5289" width="9.109375" style="377"/>
    <col min="5290" max="5290" width="31.44140625" style="377" customWidth="1"/>
    <col min="5291" max="5534" width="9.109375" style="377"/>
    <col min="5535" max="5535" width="32.88671875" style="377" customWidth="1"/>
    <col min="5536" max="5536" width="16.33203125" style="377" customWidth="1"/>
    <col min="5537" max="5537" width="19.5546875" style="377" customWidth="1"/>
    <col min="5538" max="5538" width="18.5546875" style="377" customWidth="1"/>
    <col min="5539" max="5539" width="16.88671875" style="377" customWidth="1"/>
    <col min="5540" max="5540" width="21.109375" style="377" customWidth="1"/>
    <col min="5541" max="5541" width="14.33203125" style="377" customWidth="1"/>
    <col min="5542" max="5542" width="14.109375" style="377" bestFit="1" customWidth="1"/>
    <col min="5543" max="5543" width="16.33203125" style="377" customWidth="1"/>
    <col min="5544" max="5544" width="16.44140625" style="377" customWidth="1"/>
    <col min="5545" max="5545" width="9.109375" style="377"/>
    <col min="5546" max="5546" width="31.44140625" style="377" customWidth="1"/>
    <col min="5547" max="5790" width="9.109375" style="377"/>
    <col min="5791" max="5791" width="32.88671875" style="377" customWidth="1"/>
    <col min="5792" max="5792" width="16.33203125" style="377" customWidth="1"/>
    <col min="5793" max="5793" width="19.5546875" style="377" customWidth="1"/>
    <col min="5794" max="5794" width="18.5546875" style="377" customWidth="1"/>
    <col min="5795" max="5795" width="16.88671875" style="377" customWidth="1"/>
    <col min="5796" max="5796" width="21.109375" style="377" customWidth="1"/>
    <col min="5797" max="5797" width="14.33203125" style="377" customWidth="1"/>
    <col min="5798" max="5798" width="14.109375" style="377" bestFit="1" customWidth="1"/>
    <col min="5799" max="5799" width="16.33203125" style="377" customWidth="1"/>
    <col min="5800" max="5800" width="16.44140625" style="377" customWidth="1"/>
    <col min="5801" max="5801" width="9.109375" style="377"/>
    <col min="5802" max="5802" width="31.44140625" style="377" customWidth="1"/>
    <col min="5803" max="6046" width="9.109375" style="377"/>
    <col min="6047" max="6047" width="32.88671875" style="377" customWidth="1"/>
    <col min="6048" max="6048" width="16.33203125" style="377" customWidth="1"/>
    <col min="6049" max="6049" width="19.5546875" style="377" customWidth="1"/>
    <col min="6050" max="6050" width="18.5546875" style="377" customWidth="1"/>
    <col min="6051" max="6051" width="16.88671875" style="377" customWidth="1"/>
    <col min="6052" max="6052" width="21.109375" style="377" customWidth="1"/>
    <col min="6053" max="6053" width="14.33203125" style="377" customWidth="1"/>
    <col min="6054" max="6054" width="14.109375" style="377" bestFit="1" customWidth="1"/>
    <col min="6055" max="6055" width="16.33203125" style="377" customWidth="1"/>
    <col min="6056" max="6056" width="16.44140625" style="377" customWidth="1"/>
    <col min="6057" max="6057" width="9.109375" style="377"/>
    <col min="6058" max="6058" width="31.44140625" style="377" customWidth="1"/>
    <col min="6059" max="6302" width="9.109375" style="377"/>
    <col min="6303" max="6303" width="32.88671875" style="377" customWidth="1"/>
    <col min="6304" max="6304" width="16.33203125" style="377" customWidth="1"/>
    <col min="6305" max="6305" width="19.5546875" style="377" customWidth="1"/>
    <col min="6306" max="6306" width="18.5546875" style="377" customWidth="1"/>
    <col min="6307" max="6307" width="16.88671875" style="377" customWidth="1"/>
    <col min="6308" max="6308" width="21.109375" style="377" customWidth="1"/>
    <col min="6309" max="6309" width="14.33203125" style="377" customWidth="1"/>
    <col min="6310" max="6310" width="14.109375" style="377" bestFit="1" customWidth="1"/>
    <col min="6311" max="6311" width="16.33203125" style="377" customWidth="1"/>
    <col min="6312" max="6312" width="16.44140625" style="377" customWidth="1"/>
    <col min="6313" max="6313" width="9.109375" style="377"/>
    <col min="6314" max="6314" width="31.44140625" style="377" customWidth="1"/>
    <col min="6315" max="6558" width="9.109375" style="377"/>
    <col min="6559" max="6559" width="32.88671875" style="377" customWidth="1"/>
    <col min="6560" max="6560" width="16.33203125" style="377" customWidth="1"/>
    <col min="6561" max="6561" width="19.5546875" style="377" customWidth="1"/>
    <col min="6562" max="6562" width="18.5546875" style="377" customWidth="1"/>
    <col min="6563" max="6563" width="16.88671875" style="377" customWidth="1"/>
    <col min="6564" max="6564" width="21.109375" style="377" customWidth="1"/>
    <col min="6565" max="6565" width="14.33203125" style="377" customWidth="1"/>
    <col min="6566" max="6566" width="14.109375" style="377" bestFit="1" customWidth="1"/>
    <col min="6567" max="6567" width="16.33203125" style="377" customWidth="1"/>
    <col min="6568" max="6568" width="16.44140625" style="377" customWidth="1"/>
    <col min="6569" max="6569" width="9.109375" style="377"/>
    <col min="6570" max="6570" width="31.44140625" style="377" customWidth="1"/>
    <col min="6571" max="6814" width="9.109375" style="377"/>
    <col min="6815" max="6815" width="32.88671875" style="377" customWidth="1"/>
    <col min="6816" max="6816" width="16.33203125" style="377" customWidth="1"/>
    <col min="6817" max="6817" width="19.5546875" style="377" customWidth="1"/>
    <col min="6818" max="6818" width="18.5546875" style="377" customWidth="1"/>
    <col min="6819" max="6819" width="16.88671875" style="377" customWidth="1"/>
    <col min="6820" max="6820" width="21.109375" style="377" customWidth="1"/>
    <col min="6821" max="6821" width="14.33203125" style="377" customWidth="1"/>
    <col min="6822" max="6822" width="14.109375" style="377" bestFit="1" customWidth="1"/>
    <col min="6823" max="6823" width="16.33203125" style="377" customWidth="1"/>
    <col min="6824" max="6824" width="16.44140625" style="377" customWidth="1"/>
    <col min="6825" max="6825" width="9.109375" style="377"/>
    <col min="6826" max="6826" width="31.44140625" style="377" customWidth="1"/>
    <col min="6827" max="7070" width="9.109375" style="377"/>
    <col min="7071" max="7071" width="32.88671875" style="377" customWidth="1"/>
    <col min="7072" max="7072" width="16.33203125" style="377" customWidth="1"/>
    <col min="7073" max="7073" width="19.5546875" style="377" customWidth="1"/>
    <col min="7074" max="7074" width="18.5546875" style="377" customWidth="1"/>
    <col min="7075" max="7075" width="16.88671875" style="377" customWidth="1"/>
    <col min="7076" max="7076" width="21.109375" style="377" customWidth="1"/>
    <col min="7077" max="7077" width="14.33203125" style="377" customWidth="1"/>
    <col min="7078" max="7078" width="14.109375" style="377" bestFit="1" customWidth="1"/>
    <col min="7079" max="7079" width="16.33203125" style="377" customWidth="1"/>
    <col min="7080" max="7080" width="16.44140625" style="377" customWidth="1"/>
    <col min="7081" max="7081" width="9.109375" style="377"/>
    <col min="7082" max="7082" width="31.44140625" style="377" customWidth="1"/>
    <col min="7083" max="7326" width="9.109375" style="377"/>
    <col min="7327" max="7327" width="32.88671875" style="377" customWidth="1"/>
    <col min="7328" max="7328" width="16.33203125" style="377" customWidth="1"/>
    <col min="7329" max="7329" width="19.5546875" style="377" customWidth="1"/>
    <col min="7330" max="7330" width="18.5546875" style="377" customWidth="1"/>
    <col min="7331" max="7331" width="16.88671875" style="377" customWidth="1"/>
    <col min="7332" max="7332" width="21.109375" style="377" customWidth="1"/>
    <col min="7333" max="7333" width="14.33203125" style="377" customWidth="1"/>
    <col min="7334" max="7334" width="14.109375" style="377" bestFit="1" customWidth="1"/>
    <col min="7335" max="7335" width="16.33203125" style="377" customWidth="1"/>
    <col min="7336" max="7336" width="16.44140625" style="377" customWidth="1"/>
    <col min="7337" max="7337" width="9.109375" style="377"/>
    <col min="7338" max="7338" width="31.44140625" style="377" customWidth="1"/>
    <col min="7339" max="7582" width="9.109375" style="377"/>
    <col min="7583" max="7583" width="32.88671875" style="377" customWidth="1"/>
    <col min="7584" max="7584" width="16.33203125" style="377" customWidth="1"/>
    <col min="7585" max="7585" width="19.5546875" style="377" customWidth="1"/>
    <col min="7586" max="7586" width="18.5546875" style="377" customWidth="1"/>
    <col min="7587" max="7587" width="16.88671875" style="377" customWidth="1"/>
    <col min="7588" max="7588" width="21.109375" style="377" customWidth="1"/>
    <col min="7589" max="7589" width="14.33203125" style="377" customWidth="1"/>
    <col min="7590" max="7590" width="14.109375" style="377" bestFit="1" customWidth="1"/>
    <col min="7591" max="7591" width="16.33203125" style="377" customWidth="1"/>
    <col min="7592" max="7592" width="16.44140625" style="377" customWidth="1"/>
    <col min="7593" max="7593" width="9.109375" style="377"/>
    <col min="7594" max="7594" width="31.44140625" style="377" customWidth="1"/>
    <col min="7595" max="7838" width="9.109375" style="377"/>
    <col min="7839" max="7839" width="32.88671875" style="377" customWidth="1"/>
    <col min="7840" max="7840" width="16.33203125" style="377" customWidth="1"/>
    <col min="7841" max="7841" width="19.5546875" style="377" customWidth="1"/>
    <col min="7842" max="7842" width="18.5546875" style="377" customWidth="1"/>
    <col min="7843" max="7843" width="16.88671875" style="377" customWidth="1"/>
    <col min="7844" max="7844" width="21.109375" style="377" customWidth="1"/>
    <col min="7845" max="7845" width="14.33203125" style="377" customWidth="1"/>
    <col min="7846" max="7846" width="14.109375" style="377" bestFit="1" customWidth="1"/>
    <col min="7847" max="7847" width="16.33203125" style="377" customWidth="1"/>
    <col min="7848" max="7848" width="16.44140625" style="377" customWidth="1"/>
    <col min="7849" max="7849" width="9.109375" style="377"/>
    <col min="7850" max="7850" width="31.44140625" style="377" customWidth="1"/>
    <col min="7851" max="8094" width="9.109375" style="377"/>
    <col min="8095" max="8095" width="32.88671875" style="377" customWidth="1"/>
    <col min="8096" max="8096" width="16.33203125" style="377" customWidth="1"/>
    <col min="8097" max="8097" width="19.5546875" style="377" customWidth="1"/>
    <col min="8098" max="8098" width="18.5546875" style="377" customWidth="1"/>
    <col min="8099" max="8099" width="16.88671875" style="377" customWidth="1"/>
    <col min="8100" max="8100" width="21.109375" style="377" customWidth="1"/>
    <col min="8101" max="8101" width="14.33203125" style="377" customWidth="1"/>
    <col min="8102" max="8102" width="14.109375" style="377" bestFit="1" customWidth="1"/>
    <col min="8103" max="8103" width="16.33203125" style="377" customWidth="1"/>
    <col min="8104" max="8104" width="16.44140625" style="377" customWidth="1"/>
    <col min="8105" max="8105" width="9.109375" style="377"/>
    <col min="8106" max="8106" width="31.44140625" style="377" customWidth="1"/>
    <col min="8107" max="8350" width="9.109375" style="377"/>
    <col min="8351" max="8351" width="32.88671875" style="377" customWidth="1"/>
    <col min="8352" max="8352" width="16.33203125" style="377" customWidth="1"/>
    <col min="8353" max="8353" width="19.5546875" style="377" customWidth="1"/>
    <col min="8354" max="8354" width="18.5546875" style="377" customWidth="1"/>
    <col min="8355" max="8355" width="16.88671875" style="377" customWidth="1"/>
    <col min="8356" max="8356" width="21.109375" style="377" customWidth="1"/>
    <col min="8357" max="8357" width="14.33203125" style="377" customWidth="1"/>
    <col min="8358" max="8358" width="14.109375" style="377" bestFit="1" customWidth="1"/>
    <col min="8359" max="8359" width="16.33203125" style="377" customWidth="1"/>
    <col min="8360" max="8360" width="16.44140625" style="377" customWidth="1"/>
    <col min="8361" max="8361" width="9.109375" style="377"/>
    <col min="8362" max="8362" width="31.44140625" style="377" customWidth="1"/>
    <col min="8363" max="8606" width="9.109375" style="377"/>
    <col min="8607" max="8607" width="32.88671875" style="377" customWidth="1"/>
    <col min="8608" max="8608" width="16.33203125" style="377" customWidth="1"/>
    <col min="8609" max="8609" width="19.5546875" style="377" customWidth="1"/>
    <col min="8610" max="8610" width="18.5546875" style="377" customWidth="1"/>
    <col min="8611" max="8611" width="16.88671875" style="377" customWidth="1"/>
    <col min="8612" max="8612" width="21.109375" style="377" customWidth="1"/>
    <col min="8613" max="8613" width="14.33203125" style="377" customWidth="1"/>
    <col min="8614" max="8614" width="14.109375" style="377" bestFit="1" customWidth="1"/>
    <col min="8615" max="8615" width="16.33203125" style="377" customWidth="1"/>
    <col min="8616" max="8616" width="16.44140625" style="377" customWidth="1"/>
    <col min="8617" max="8617" width="9.109375" style="377"/>
    <col min="8618" max="8618" width="31.44140625" style="377" customWidth="1"/>
    <col min="8619" max="8862" width="9.109375" style="377"/>
    <col min="8863" max="8863" width="32.88671875" style="377" customWidth="1"/>
    <col min="8864" max="8864" width="16.33203125" style="377" customWidth="1"/>
    <col min="8865" max="8865" width="19.5546875" style="377" customWidth="1"/>
    <col min="8866" max="8866" width="18.5546875" style="377" customWidth="1"/>
    <col min="8867" max="8867" width="16.88671875" style="377" customWidth="1"/>
    <col min="8868" max="8868" width="21.109375" style="377" customWidth="1"/>
    <col min="8869" max="8869" width="14.33203125" style="377" customWidth="1"/>
    <col min="8870" max="8870" width="14.109375" style="377" bestFit="1" customWidth="1"/>
    <col min="8871" max="8871" width="16.33203125" style="377" customWidth="1"/>
    <col min="8872" max="8872" width="16.44140625" style="377" customWidth="1"/>
    <col min="8873" max="8873" width="9.109375" style="377"/>
    <col min="8874" max="8874" width="31.44140625" style="377" customWidth="1"/>
    <col min="8875" max="9118" width="9.109375" style="377"/>
    <col min="9119" max="9119" width="32.88671875" style="377" customWidth="1"/>
    <col min="9120" max="9120" width="16.33203125" style="377" customWidth="1"/>
    <col min="9121" max="9121" width="19.5546875" style="377" customWidth="1"/>
    <col min="9122" max="9122" width="18.5546875" style="377" customWidth="1"/>
    <col min="9123" max="9123" width="16.88671875" style="377" customWidth="1"/>
    <col min="9124" max="9124" width="21.109375" style="377" customWidth="1"/>
    <col min="9125" max="9125" width="14.33203125" style="377" customWidth="1"/>
    <col min="9126" max="9126" width="14.109375" style="377" bestFit="1" customWidth="1"/>
    <col min="9127" max="9127" width="16.33203125" style="377" customWidth="1"/>
    <col min="9128" max="9128" width="16.44140625" style="377" customWidth="1"/>
    <col min="9129" max="9129" width="9.109375" style="377"/>
    <col min="9130" max="9130" width="31.44140625" style="377" customWidth="1"/>
    <col min="9131" max="9374" width="9.109375" style="377"/>
    <col min="9375" max="9375" width="32.88671875" style="377" customWidth="1"/>
    <col min="9376" max="9376" width="16.33203125" style="377" customWidth="1"/>
    <col min="9377" max="9377" width="19.5546875" style="377" customWidth="1"/>
    <col min="9378" max="9378" width="18.5546875" style="377" customWidth="1"/>
    <col min="9379" max="9379" width="16.88671875" style="377" customWidth="1"/>
    <col min="9380" max="9380" width="21.109375" style="377" customWidth="1"/>
    <col min="9381" max="9381" width="14.33203125" style="377" customWidth="1"/>
    <col min="9382" max="9382" width="14.109375" style="377" bestFit="1" customWidth="1"/>
    <col min="9383" max="9383" width="16.33203125" style="377" customWidth="1"/>
    <col min="9384" max="9384" width="16.44140625" style="377" customWidth="1"/>
    <col min="9385" max="9385" width="9.109375" style="377"/>
    <col min="9386" max="9386" width="31.44140625" style="377" customWidth="1"/>
    <col min="9387" max="9630" width="9.109375" style="377"/>
    <col min="9631" max="9631" width="32.88671875" style="377" customWidth="1"/>
    <col min="9632" max="9632" width="16.33203125" style="377" customWidth="1"/>
    <col min="9633" max="9633" width="19.5546875" style="377" customWidth="1"/>
    <col min="9634" max="9634" width="18.5546875" style="377" customWidth="1"/>
    <col min="9635" max="9635" width="16.88671875" style="377" customWidth="1"/>
    <col min="9636" max="9636" width="21.109375" style="377" customWidth="1"/>
    <col min="9637" max="9637" width="14.33203125" style="377" customWidth="1"/>
    <col min="9638" max="9638" width="14.109375" style="377" bestFit="1" customWidth="1"/>
    <col min="9639" max="9639" width="16.33203125" style="377" customWidth="1"/>
    <col min="9640" max="9640" width="16.44140625" style="377" customWidth="1"/>
    <col min="9641" max="9641" width="9.109375" style="377"/>
    <col min="9642" max="9642" width="31.44140625" style="377" customWidth="1"/>
    <col min="9643" max="9886" width="9.109375" style="377"/>
    <col min="9887" max="9887" width="32.88671875" style="377" customWidth="1"/>
    <col min="9888" max="9888" width="16.33203125" style="377" customWidth="1"/>
    <col min="9889" max="9889" width="19.5546875" style="377" customWidth="1"/>
    <col min="9890" max="9890" width="18.5546875" style="377" customWidth="1"/>
    <col min="9891" max="9891" width="16.88671875" style="377" customWidth="1"/>
    <col min="9892" max="9892" width="21.109375" style="377" customWidth="1"/>
    <col min="9893" max="9893" width="14.33203125" style="377" customWidth="1"/>
    <col min="9894" max="9894" width="14.109375" style="377" bestFit="1" customWidth="1"/>
    <col min="9895" max="9895" width="16.33203125" style="377" customWidth="1"/>
    <col min="9896" max="9896" width="16.44140625" style="377" customWidth="1"/>
    <col min="9897" max="9897" width="9.109375" style="377"/>
    <col min="9898" max="9898" width="31.44140625" style="377" customWidth="1"/>
    <col min="9899" max="10142" width="9.109375" style="377"/>
    <col min="10143" max="10143" width="32.88671875" style="377" customWidth="1"/>
    <col min="10144" max="10144" width="16.33203125" style="377" customWidth="1"/>
    <col min="10145" max="10145" width="19.5546875" style="377" customWidth="1"/>
    <col min="10146" max="10146" width="18.5546875" style="377" customWidth="1"/>
    <col min="10147" max="10147" width="16.88671875" style="377" customWidth="1"/>
    <col min="10148" max="10148" width="21.109375" style="377" customWidth="1"/>
    <col min="10149" max="10149" width="14.33203125" style="377" customWidth="1"/>
    <col min="10150" max="10150" width="14.109375" style="377" bestFit="1" customWidth="1"/>
    <col min="10151" max="10151" width="16.33203125" style="377" customWidth="1"/>
    <col min="10152" max="10152" width="16.44140625" style="377" customWidth="1"/>
    <col min="10153" max="10153" width="9.109375" style="377"/>
    <col min="10154" max="10154" width="31.44140625" style="377" customWidth="1"/>
    <col min="10155" max="10398" width="9.109375" style="377"/>
    <col min="10399" max="10399" width="32.88671875" style="377" customWidth="1"/>
    <col min="10400" max="10400" width="16.33203125" style="377" customWidth="1"/>
    <col min="10401" max="10401" width="19.5546875" style="377" customWidth="1"/>
    <col min="10402" max="10402" width="18.5546875" style="377" customWidth="1"/>
    <col min="10403" max="10403" width="16.88671875" style="377" customWidth="1"/>
    <col min="10404" max="10404" width="21.109375" style="377" customWidth="1"/>
    <col min="10405" max="10405" width="14.33203125" style="377" customWidth="1"/>
    <col min="10406" max="10406" width="14.109375" style="377" bestFit="1" customWidth="1"/>
    <col min="10407" max="10407" width="16.33203125" style="377" customWidth="1"/>
    <col min="10408" max="10408" width="16.44140625" style="377" customWidth="1"/>
    <col min="10409" max="10409" width="9.109375" style="377"/>
    <col min="10410" max="10410" width="31.44140625" style="377" customWidth="1"/>
    <col min="10411" max="10654" width="9.109375" style="377"/>
    <col min="10655" max="10655" width="32.88671875" style="377" customWidth="1"/>
    <col min="10656" max="10656" width="16.33203125" style="377" customWidth="1"/>
    <col min="10657" max="10657" width="19.5546875" style="377" customWidth="1"/>
    <col min="10658" max="10658" width="18.5546875" style="377" customWidth="1"/>
    <col min="10659" max="10659" width="16.88671875" style="377" customWidth="1"/>
    <col min="10660" max="10660" width="21.109375" style="377" customWidth="1"/>
    <col min="10661" max="10661" width="14.33203125" style="377" customWidth="1"/>
    <col min="10662" max="10662" width="14.109375" style="377" bestFit="1" customWidth="1"/>
    <col min="10663" max="10663" width="16.33203125" style="377" customWidth="1"/>
    <col min="10664" max="10664" width="16.44140625" style="377" customWidth="1"/>
    <col min="10665" max="10665" width="9.109375" style="377"/>
    <col min="10666" max="10666" width="31.44140625" style="377" customWidth="1"/>
    <col min="10667" max="10910" width="9.109375" style="377"/>
    <col min="10911" max="10911" width="32.88671875" style="377" customWidth="1"/>
    <col min="10912" max="10912" width="16.33203125" style="377" customWidth="1"/>
    <col min="10913" max="10913" width="19.5546875" style="377" customWidth="1"/>
    <col min="10914" max="10914" width="18.5546875" style="377" customWidth="1"/>
    <col min="10915" max="10915" width="16.88671875" style="377" customWidth="1"/>
    <col min="10916" max="10916" width="21.109375" style="377" customWidth="1"/>
    <col min="10917" max="10917" width="14.33203125" style="377" customWidth="1"/>
    <col min="10918" max="10918" width="14.109375" style="377" bestFit="1" customWidth="1"/>
    <col min="10919" max="10919" width="16.33203125" style="377" customWidth="1"/>
    <col min="10920" max="10920" width="16.44140625" style="377" customWidth="1"/>
    <col min="10921" max="10921" width="9.109375" style="377"/>
    <col min="10922" max="10922" width="31.44140625" style="377" customWidth="1"/>
    <col min="10923" max="11166" width="9.109375" style="377"/>
    <col min="11167" max="11167" width="32.88671875" style="377" customWidth="1"/>
    <col min="11168" max="11168" width="16.33203125" style="377" customWidth="1"/>
    <col min="11169" max="11169" width="19.5546875" style="377" customWidth="1"/>
    <col min="11170" max="11170" width="18.5546875" style="377" customWidth="1"/>
    <col min="11171" max="11171" width="16.88671875" style="377" customWidth="1"/>
    <col min="11172" max="11172" width="21.109375" style="377" customWidth="1"/>
    <col min="11173" max="11173" width="14.33203125" style="377" customWidth="1"/>
    <col min="11174" max="11174" width="14.109375" style="377" bestFit="1" customWidth="1"/>
    <col min="11175" max="11175" width="16.33203125" style="377" customWidth="1"/>
    <col min="11176" max="11176" width="16.44140625" style="377" customWidth="1"/>
    <col min="11177" max="11177" width="9.109375" style="377"/>
    <col min="11178" max="11178" width="31.44140625" style="377" customWidth="1"/>
    <col min="11179" max="11422" width="9.109375" style="377"/>
    <col min="11423" max="11423" width="32.88671875" style="377" customWidth="1"/>
    <col min="11424" max="11424" width="16.33203125" style="377" customWidth="1"/>
    <col min="11425" max="11425" width="19.5546875" style="377" customWidth="1"/>
    <col min="11426" max="11426" width="18.5546875" style="377" customWidth="1"/>
    <col min="11427" max="11427" width="16.88671875" style="377" customWidth="1"/>
    <col min="11428" max="11428" width="21.109375" style="377" customWidth="1"/>
    <col min="11429" max="11429" width="14.33203125" style="377" customWidth="1"/>
    <col min="11430" max="11430" width="14.109375" style="377" bestFit="1" customWidth="1"/>
    <col min="11431" max="11431" width="16.33203125" style="377" customWidth="1"/>
    <col min="11432" max="11432" width="16.44140625" style="377" customWidth="1"/>
    <col min="11433" max="11433" width="9.109375" style="377"/>
    <col min="11434" max="11434" width="31.44140625" style="377" customWidth="1"/>
    <col min="11435" max="11678" width="9.109375" style="377"/>
    <col min="11679" max="11679" width="32.88671875" style="377" customWidth="1"/>
    <col min="11680" max="11680" width="16.33203125" style="377" customWidth="1"/>
    <col min="11681" max="11681" width="19.5546875" style="377" customWidth="1"/>
    <col min="11682" max="11682" width="18.5546875" style="377" customWidth="1"/>
    <col min="11683" max="11683" width="16.88671875" style="377" customWidth="1"/>
    <col min="11684" max="11684" width="21.109375" style="377" customWidth="1"/>
    <col min="11685" max="11685" width="14.33203125" style="377" customWidth="1"/>
    <col min="11686" max="11686" width="14.109375" style="377" bestFit="1" customWidth="1"/>
    <col min="11687" max="11687" width="16.33203125" style="377" customWidth="1"/>
    <col min="11688" max="11688" width="16.44140625" style="377" customWidth="1"/>
    <col min="11689" max="11689" width="9.109375" style="377"/>
    <col min="11690" max="11690" width="31.44140625" style="377" customWidth="1"/>
    <col min="11691" max="11934" width="9.109375" style="377"/>
    <col min="11935" max="11935" width="32.88671875" style="377" customWidth="1"/>
    <col min="11936" max="11936" width="16.33203125" style="377" customWidth="1"/>
    <col min="11937" max="11937" width="19.5546875" style="377" customWidth="1"/>
    <col min="11938" max="11938" width="18.5546875" style="377" customWidth="1"/>
    <col min="11939" max="11939" width="16.88671875" style="377" customWidth="1"/>
    <col min="11940" max="11940" width="21.109375" style="377" customWidth="1"/>
    <col min="11941" max="11941" width="14.33203125" style="377" customWidth="1"/>
    <col min="11942" max="11942" width="14.109375" style="377" bestFit="1" customWidth="1"/>
    <col min="11943" max="11943" width="16.33203125" style="377" customWidth="1"/>
    <col min="11944" max="11944" width="16.44140625" style="377" customWidth="1"/>
    <col min="11945" max="11945" width="9.109375" style="377"/>
    <col min="11946" max="11946" width="31.44140625" style="377" customWidth="1"/>
    <col min="11947" max="12190" width="9.109375" style="377"/>
    <col min="12191" max="12191" width="32.88671875" style="377" customWidth="1"/>
    <col min="12192" max="12192" width="16.33203125" style="377" customWidth="1"/>
    <col min="12193" max="12193" width="19.5546875" style="377" customWidth="1"/>
    <col min="12194" max="12194" width="18.5546875" style="377" customWidth="1"/>
    <col min="12195" max="12195" width="16.88671875" style="377" customWidth="1"/>
    <col min="12196" max="12196" width="21.109375" style="377" customWidth="1"/>
    <col min="12197" max="12197" width="14.33203125" style="377" customWidth="1"/>
    <col min="12198" max="12198" width="14.109375" style="377" bestFit="1" customWidth="1"/>
    <col min="12199" max="12199" width="16.33203125" style="377" customWidth="1"/>
    <col min="12200" max="12200" width="16.44140625" style="377" customWidth="1"/>
    <col min="12201" max="12201" width="9.109375" style="377"/>
    <col min="12202" max="12202" width="31.44140625" style="377" customWidth="1"/>
    <col min="12203" max="12446" width="9.109375" style="377"/>
    <col min="12447" max="12447" width="32.88671875" style="377" customWidth="1"/>
    <col min="12448" max="12448" width="16.33203125" style="377" customWidth="1"/>
    <col min="12449" max="12449" width="19.5546875" style="377" customWidth="1"/>
    <col min="12450" max="12450" width="18.5546875" style="377" customWidth="1"/>
    <col min="12451" max="12451" width="16.88671875" style="377" customWidth="1"/>
    <col min="12452" max="12452" width="21.109375" style="377" customWidth="1"/>
    <col min="12453" max="12453" width="14.33203125" style="377" customWidth="1"/>
    <col min="12454" max="12454" width="14.109375" style="377" bestFit="1" customWidth="1"/>
    <col min="12455" max="12455" width="16.33203125" style="377" customWidth="1"/>
    <col min="12456" max="12456" width="16.44140625" style="377" customWidth="1"/>
    <col min="12457" max="12457" width="9.109375" style="377"/>
    <col min="12458" max="12458" width="31.44140625" style="377" customWidth="1"/>
    <col min="12459" max="12702" width="9.109375" style="377"/>
    <col min="12703" max="12703" width="32.88671875" style="377" customWidth="1"/>
    <col min="12704" max="12704" width="16.33203125" style="377" customWidth="1"/>
    <col min="12705" max="12705" width="19.5546875" style="377" customWidth="1"/>
    <col min="12706" max="12706" width="18.5546875" style="377" customWidth="1"/>
    <col min="12707" max="12707" width="16.88671875" style="377" customWidth="1"/>
    <col min="12708" max="12708" width="21.109375" style="377" customWidth="1"/>
    <col min="12709" max="12709" width="14.33203125" style="377" customWidth="1"/>
    <col min="12710" max="12710" width="14.109375" style="377" bestFit="1" customWidth="1"/>
    <col min="12711" max="12711" width="16.33203125" style="377" customWidth="1"/>
    <col min="12712" max="12712" width="16.44140625" style="377" customWidth="1"/>
    <col min="12713" max="12713" width="9.109375" style="377"/>
    <col min="12714" max="12714" width="31.44140625" style="377" customWidth="1"/>
    <col min="12715" max="12958" width="9.109375" style="377"/>
    <col min="12959" max="12959" width="32.88671875" style="377" customWidth="1"/>
    <col min="12960" max="12960" width="16.33203125" style="377" customWidth="1"/>
    <col min="12961" max="12961" width="19.5546875" style="377" customWidth="1"/>
    <col min="12962" max="12962" width="18.5546875" style="377" customWidth="1"/>
    <col min="12963" max="12963" width="16.88671875" style="377" customWidth="1"/>
    <col min="12964" max="12964" width="21.109375" style="377" customWidth="1"/>
    <col min="12965" max="12965" width="14.33203125" style="377" customWidth="1"/>
    <col min="12966" max="12966" width="14.109375" style="377" bestFit="1" customWidth="1"/>
    <col min="12967" max="12967" width="16.33203125" style="377" customWidth="1"/>
    <col min="12968" max="12968" width="16.44140625" style="377" customWidth="1"/>
    <col min="12969" max="12969" width="9.109375" style="377"/>
    <col min="12970" max="12970" width="31.44140625" style="377" customWidth="1"/>
    <col min="12971" max="13214" width="9.109375" style="377"/>
    <col min="13215" max="13215" width="32.88671875" style="377" customWidth="1"/>
    <col min="13216" max="13216" width="16.33203125" style="377" customWidth="1"/>
    <col min="13217" max="13217" width="19.5546875" style="377" customWidth="1"/>
    <col min="13218" max="13218" width="18.5546875" style="377" customWidth="1"/>
    <col min="13219" max="13219" width="16.88671875" style="377" customWidth="1"/>
    <col min="13220" max="13220" width="21.109375" style="377" customWidth="1"/>
    <col min="13221" max="13221" width="14.33203125" style="377" customWidth="1"/>
    <col min="13222" max="13222" width="14.109375" style="377" bestFit="1" customWidth="1"/>
    <col min="13223" max="13223" width="16.33203125" style="377" customWidth="1"/>
    <col min="13224" max="13224" width="16.44140625" style="377" customWidth="1"/>
    <col min="13225" max="13225" width="9.109375" style="377"/>
    <col min="13226" max="13226" width="31.44140625" style="377" customWidth="1"/>
    <col min="13227" max="13470" width="9.109375" style="377"/>
    <col min="13471" max="13471" width="32.88671875" style="377" customWidth="1"/>
    <col min="13472" max="13472" width="16.33203125" style="377" customWidth="1"/>
    <col min="13473" max="13473" width="19.5546875" style="377" customWidth="1"/>
    <col min="13474" max="13474" width="18.5546875" style="377" customWidth="1"/>
    <col min="13475" max="13475" width="16.88671875" style="377" customWidth="1"/>
    <col min="13476" max="13476" width="21.109375" style="377" customWidth="1"/>
    <col min="13477" max="13477" width="14.33203125" style="377" customWidth="1"/>
    <col min="13478" max="13478" width="14.109375" style="377" bestFit="1" customWidth="1"/>
    <col min="13479" max="13479" width="16.33203125" style="377" customWidth="1"/>
    <col min="13480" max="13480" width="16.44140625" style="377" customWidth="1"/>
    <col min="13481" max="13481" width="9.109375" style="377"/>
    <col min="13482" max="13482" width="31.44140625" style="377" customWidth="1"/>
    <col min="13483" max="13726" width="9.109375" style="377"/>
    <col min="13727" max="13727" width="32.88671875" style="377" customWidth="1"/>
    <col min="13728" max="13728" width="16.33203125" style="377" customWidth="1"/>
    <col min="13729" max="13729" width="19.5546875" style="377" customWidth="1"/>
    <col min="13730" max="13730" width="18.5546875" style="377" customWidth="1"/>
    <col min="13731" max="13731" width="16.88671875" style="377" customWidth="1"/>
    <col min="13732" max="13732" width="21.109375" style="377" customWidth="1"/>
    <col min="13733" max="13733" width="14.33203125" style="377" customWidth="1"/>
    <col min="13734" max="13734" width="14.109375" style="377" bestFit="1" customWidth="1"/>
    <col min="13735" max="13735" width="16.33203125" style="377" customWidth="1"/>
    <col min="13736" max="13736" width="16.44140625" style="377" customWidth="1"/>
    <col min="13737" max="13737" width="9.109375" style="377"/>
    <col min="13738" max="13738" width="31.44140625" style="377" customWidth="1"/>
    <col min="13739" max="13982" width="9.109375" style="377"/>
    <col min="13983" max="13983" width="32.88671875" style="377" customWidth="1"/>
    <col min="13984" max="13984" width="16.33203125" style="377" customWidth="1"/>
    <col min="13985" max="13985" width="19.5546875" style="377" customWidth="1"/>
    <col min="13986" max="13986" width="18.5546875" style="377" customWidth="1"/>
    <col min="13987" max="13987" width="16.88671875" style="377" customWidth="1"/>
    <col min="13988" max="13988" width="21.109375" style="377" customWidth="1"/>
    <col min="13989" max="13989" width="14.33203125" style="377" customWidth="1"/>
    <col min="13990" max="13990" width="14.109375" style="377" bestFit="1" customWidth="1"/>
    <col min="13991" max="13991" width="16.33203125" style="377" customWidth="1"/>
    <col min="13992" max="13992" width="16.44140625" style="377" customWidth="1"/>
    <col min="13993" max="13993" width="9.109375" style="377"/>
    <col min="13994" max="13994" width="31.44140625" style="377" customWidth="1"/>
    <col min="13995" max="14238" width="9.109375" style="377"/>
    <col min="14239" max="14239" width="32.88671875" style="377" customWidth="1"/>
    <col min="14240" max="14240" width="16.33203125" style="377" customWidth="1"/>
    <col min="14241" max="14241" width="19.5546875" style="377" customWidth="1"/>
    <col min="14242" max="14242" width="18.5546875" style="377" customWidth="1"/>
    <col min="14243" max="14243" width="16.88671875" style="377" customWidth="1"/>
    <col min="14244" max="14244" width="21.109375" style="377" customWidth="1"/>
    <col min="14245" max="14245" width="14.33203125" style="377" customWidth="1"/>
    <col min="14246" max="14246" width="14.109375" style="377" bestFit="1" customWidth="1"/>
    <col min="14247" max="14247" width="16.33203125" style="377" customWidth="1"/>
    <col min="14248" max="14248" width="16.44140625" style="377" customWidth="1"/>
    <col min="14249" max="14249" width="9.109375" style="377"/>
    <col min="14250" max="14250" width="31.44140625" style="377" customWidth="1"/>
    <col min="14251" max="14494" width="9.109375" style="377"/>
    <col min="14495" max="14495" width="32.88671875" style="377" customWidth="1"/>
    <col min="14496" max="14496" width="16.33203125" style="377" customWidth="1"/>
    <col min="14497" max="14497" width="19.5546875" style="377" customWidth="1"/>
    <col min="14498" max="14498" width="18.5546875" style="377" customWidth="1"/>
    <col min="14499" max="14499" width="16.88671875" style="377" customWidth="1"/>
    <col min="14500" max="14500" width="21.109375" style="377" customWidth="1"/>
    <col min="14501" max="14501" width="14.33203125" style="377" customWidth="1"/>
    <col min="14502" max="14502" width="14.109375" style="377" bestFit="1" customWidth="1"/>
    <col min="14503" max="14503" width="16.33203125" style="377" customWidth="1"/>
    <col min="14504" max="14504" width="16.44140625" style="377" customWidth="1"/>
    <col min="14505" max="14505" width="9.109375" style="377"/>
    <col min="14506" max="14506" width="31.44140625" style="377" customWidth="1"/>
    <col min="14507" max="14750" width="9.109375" style="377"/>
    <col min="14751" max="14751" width="32.88671875" style="377" customWidth="1"/>
    <col min="14752" max="14752" width="16.33203125" style="377" customWidth="1"/>
    <col min="14753" max="14753" width="19.5546875" style="377" customWidth="1"/>
    <col min="14754" max="14754" width="18.5546875" style="377" customWidth="1"/>
    <col min="14755" max="14755" width="16.88671875" style="377" customWidth="1"/>
    <col min="14756" max="14756" width="21.109375" style="377" customWidth="1"/>
    <col min="14757" max="14757" width="14.33203125" style="377" customWidth="1"/>
    <col min="14758" max="14758" width="14.109375" style="377" bestFit="1" customWidth="1"/>
    <col min="14759" max="14759" width="16.33203125" style="377" customWidth="1"/>
    <col min="14760" max="14760" width="16.44140625" style="377" customWidth="1"/>
    <col min="14761" max="14761" width="9.109375" style="377"/>
    <col min="14762" max="14762" width="31.44140625" style="377" customWidth="1"/>
    <col min="14763" max="15006" width="9.109375" style="377"/>
    <col min="15007" max="15007" width="32.88671875" style="377" customWidth="1"/>
    <col min="15008" max="15008" width="16.33203125" style="377" customWidth="1"/>
    <col min="15009" max="15009" width="19.5546875" style="377" customWidth="1"/>
    <col min="15010" max="15010" width="18.5546875" style="377" customWidth="1"/>
    <col min="15011" max="15011" width="16.88671875" style="377" customWidth="1"/>
    <col min="15012" max="15012" width="21.109375" style="377" customWidth="1"/>
    <col min="15013" max="15013" width="14.33203125" style="377" customWidth="1"/>
    <col min="15014" max="15014" width="14.109375" style="377" bestFit="1" customWidth="1"/>
    <col min="15015" max="15015" width="16.33203125" style="377" customWidth="1"/>
    <col min="15016" max="15016" width="16.44140625" style="377" customWidth="1"/>
    <col min="15017" max="15017" width="9.109375" style="377"/>
    <col min="15018" max="15018" width="31.44140625" style="377" customWidth="1"/>
    <col min="15019" max="15262" width="9.109375" style="377"/>
    <col min="15263" max="15263" width="32.88671875" style="377" customWidth="1"/>
    <col min="15264" max="15264" width="16.33203125" style="377" customWidth="1"/>
    <col min="15265" max="15265" width="19.5546875" style="377" customWidth="1"/>
    <col min="15266" max="15266" width="18.5546875" style="377" customWidth="1"/>
    <col min="15267" max="15267" width="16.88671875" style="377" customWidth="1"/>
    <col min="15268" max="15268" width="21.109375" style="377" customWidth="1"/>
    <col min="15269" max="15269" width="14.33203125" style="377" customWidth="1"/>
    <col min="15270" max="15270" width="14.109375" style="377" bestFit="1" customWidth="1"/>
    <col min="15271" max="15271" width="16.33203125" style="377" customWidth="1"/>
    <col min="15272" max="15272" width="16.44140625" style="377" customWidth="1"/>
    <col min="15273" max="15273" width="9.109375" style="377"/>
    <col min="15274" max="15274" width="31.44140625" style="377" customWidth="1"/>
    <col min="15275" max="15518" width="9.109375" style="377"/>
    <col min="15519" max="15519" width="32.88671875" style="377" customWidth="1"/>
    <col min="15520" max="15520" width="16.33203125" style="377" customWidth="1"/>
    <col min="15521" max="15521" width="19.5546875" style="377" customWidth="1"/>
    <col min="15522" max="15522" width="18.5546875" style="377" customWidth="1"/>
    <col min="15523" max="15523" width="16.88671875" style="377" customWidth="1"/>
    <col min="15524" max="15524" width="21.109375" style="377" customWidth="1"/>
    <col min="15525" max="15525" width="14.33203125" style="377" customWidth="1"/>
    <col min="15526" max="15526" width="14.109375" style="377" bestFit="1" customWidth="1"/>
    <col min="15527" max="15527" width="16.33203125" style="377" customWidth="1"/>
    <col min="15528" max="15528" width="16.44140625" style="377" customWidth="1"/>
    <col min="15529" max="15529" width="9.109375" style="377"/>
    <col min="15530" max="15530" width="31.44140625" style="377" customWidth="1"/>
    <col min="15531" max="15774" width="9.109375" style="377"/>
    <col min="15775" max="15775" width="32.88671875" style="377" customWidth="1"/>
    <col min="15776" max="15776" width="16.33203125" style="377" customWidth="1"/>
    <col min="15777" max="15777" width="19.5546875" style="377" customWidth="1"/>
    <col min="15778" max="15778" width="18.5546875" style="377" customWidth="1"/>
    <col min="15779" max="15779" width="16.88671875" style="377" customWidth="1"/>
    <col min="15780" max="15780" width="21.109375" style="377" customWidth="1"/>
    <col min="15781" max="15781" width="14.33203125" style="377" customWidth="1"/>
    <col min="15782" max="15782" width="14.109375" style="377" bestFit="1" customWidth="1"/>
    <col min="15783" max="15783" width="16.33203125" style="377" customWidth="1"/>
    <col min="15784" max="15784" width="16.44140625" style="377" customWidth="1"/>
    <col min="15785" max="15785" width="9.109375" style="377"/>
    <col min="15786" max="15786" width="31.44140625" style="377" customWidth="1"/>
    <col min="15787" max="16030" width="9.109375" style="377"/>
    <col min="16031" max="16031" width="32.88671875" style="377" customWidth="1"/>
    <col min="16032" max="16032" width="16.33203125" style="377" customWidth="1"/>
    <col min="16033" max="16033" width="19.5546875" style="377" customWidth="1"/>
    <col min="16034" max="16034" width="18.5546875" style="377" customWidth="1"/>
    <col min="16035" max="16035" width="16.88671875" style="377" customWidth="1"/>
    <col min="16036" max="16036" width="21.109375" style="377" customWidth="1"/>
    <col min="16037" max="16037" width="14.33203125" style="377" customWidth="1"/>
    <col min="16038" max="16038" width="14.109375" style="377" bestFit="1" customWidth="1"/>
    <col min="16039" max="16039" width="16.33203125" style="377" customWidth="1"/>
    <col min="16040" max="16040" width="16.44140625" style="377" customWidth="1"/>
    <col min="16041" max="16041" width="9.109375" style="377"/>
    <col min="16042" max="16042" width="31.44140625" style="377" customWidth="1"/>
    <col min="16043" max="16384" width="9.109375" style="377"/>
  </cols>
  <sheetData>
    <row r="1" spans="1:10">
      <c r="C1" s="340" t="s">
        <v>538</v>
      </c>
      <c r="F1" s="360" t="s">
        <v>552</v>
      </c>
      <c r="G1" s="987"/>
      <c r="H1" s="988"/>
      <c r="I1" s="381" t="s">
        <v>181</v>
      </c>
    </row>
    <row r="2" spans="1:10">
      <c r="A2" s="340"/>
      <c r="B2" s="340"/>
      <c r="C2" s="340" t="s">
        <v>364</v>
      </c>
      <c r="F2" s="370" t="s">
        <v>553</v>
      </c>
      <c r="G2" s="987"/>
      <c r="H2" s="988"/>
      <c r="I2" s="381" t="s">
        <v>181</v>
      </c>
    </row>
    <row r="3" spans="1:10">
      <c r="A3" s="340"/>
      <c r="B3" s="340"/>
      <c r="C3" s="340" t="s">
        <v>539</v>
      </c>
      <c r="F3" s="362" t="s">
        <v>554</v>
      </c>
      <c r="G3" s="989"/>
      <c r="H3" s="990"/>
    </row>
    <row r="4" spans="1:10">
      <c r="A4" s="340"/>
      <c r="B4" s="340"/>
      <c r="C4" s="341" t="e">
        <f>#REF!</f>
        <v>#REF!</v>
      </c>
      <c r="D4" s="382"/>
      <c r="E4" s="379" t="s">
        <v>181</v>
      </c>
      <c r="F4" s="325" t="s">
        <v>488</v>
      </c>
    </row>
    <row r="5" spans="1:10">
      <c r="A5" s="341"/>
      <c r="B5" s="341"/>
      <c r="C5" s="341" t="e">
        <f>#REF!</f>
        <v>#REF!</v>
      </c>
      <c r="E5" s="379" t="s">
        <v>181</v>
      </c>
      <c r="F5" s="363" t="s">
        <v>555</v>
      </c>
    </row>
    <row r="6" spans="1:10">
      <c r="D6" s="384"/>
      <c r="E6" s="384" t="s">
        <v>181</v>
      </c>
      <c r="F6" s="385"/>
      <c r="G6" s="386"/>
      <c r="H6" s="384" t="s">
        <v>181</v>
      </c>
      <c r="I6" s="387"/>
    </row>
    <row r="7" spans="1:10" s="392" customFormat="1" ht="55.5" customHeight="1">
      <c r="A7" s="388" t="s">
        <v>557</v>
      </c>
      <c r="B7" s="388" t="s">
        <v>558</v>
      </c>
      <c r="C7" s="388" t="s">
        <v>559</v>
      </c>
      <c r="D7" s="389" t="s">
        <v>801</v>
      </c>
      <c r="E7" s="389" t="s">
        <v>1758</v>
      </c>
      <c r="F7" s="390" t="s">
        <v>560</v>
      </c>
      <c r="G7" s="391" t="s">
        <v>561</v>
      </c>
      <c r="H7" s="389" t="s">
        <v>1759</v>
      </c>
      <c r="I7" s="391" t="s">
        <v>1760</v>
      </c>
    </row>
    <row r="8" spans="1:10" s="392" customFormat="1" ht="14.1" customHeight="1">
      <c r="A8" s="388"/>
      <c r="B8" s="388"/>
      <c r="C8" s="388"/>
      <c r="D8" s="389"/>
      <c r="E8" s="389"/>
      <c r="F8" s="390"/>
      <c r="G8" s="391"/>
      <c r="H8" s="389"/>
      <c r="I8" s="391"/>
    </row>
    <row r="9" spans="1:10">
      <c r="C9" s="340" t="s">
        <v>562</v>
      </c>
      <c r="D9" s="382"/>
      <c r="E9" s="382"/>
      <c r="F9" s="385"/>
      <c r="G9" s="386"/>
      <c r="H9" s="384"/>
      <c r="I9" s="387"/>
    </row>
    <row r="10" spans="1:10">
      <c r="A10" s="339" t="s">
        <v>509</v>
      </c>
      <c r="B10" s="339" t="s">
        <v>563</v>
      </c>
      <c r="C10" s="377" t="s">
        <v>564</v>
      </c>
      <c r="D10" s="382">
        <f>'Rate Base'!F11</f>
        <v>370542.09</v>
      </c>
      <c r="E10" s="382">
        <f>'Rate Base'!F60</f>
        <v>105353.3</v>
      </c>
      <c r="F10" s="393">
        <f>E10/D10</f>
        <v>0.28432208605505516</v>
      </c>
      <c r="G10" s="394">
        <f>D10-E10</f>
        <v>265188.79000000004</v>
      </c>
      <c r="H10" s="949">
        <v>370542.08999999997</v>
      </c>
      <c r="I10" s="950">
        <v>105353.31000000001</v>
      </c>
      <c r="J10" s="395"/>
    </row>
    <row r="11" spans="1:10">
      <c r="A11" s="339" t="s">
        <v>510</v>
      </c>
      <c r="B11" s="339" t="s">
        <v>565</v>
      </c>
      <c r="C11" s="377" t="s">
        <v>566</v>
      </c>
      <c r="D11" s="382">
        <f>'Rate Base'!F12</f>
        <v>85701.340000000011</v>
      </c>
      <c r="E11" s="382">
        <f>'Rate Base'!F61</f>
        <v>25662.99</v>
      </c>
      <c r="F11" s="393">
        <f>E11/D11</f>
        <v>0.29944677644480239</v>
      </c>
      <c r="G11" s="394">
        <f>D11-E11</f>
        <v>60038.350000000006</v>
      </c>
      <c r="H11" s="949">
        <v>85701.34</v>
      </c>
      <c r="I11" s="950">
        <v>25663.089999999997</v>
      </c>
      <c r="J11" s="395"/>
    </row>
    <row r="12" spans="1:10">
      <c r="A12" s="396"/>
      <c r="B12" s="396"/>
      <c r="C12" s="377" t="s">
        <v>567</v>
      </c>
      <c r="D12" s="397">
        <f>SUM(D10:D11)</f>
        <v>456243.43000000005</v>
      </c>
      <c r="E12" s="397">
        <f>SUM(E10:E11)</f>
        <v>131016.29000000001</v>
      </c>
      <c r="F12" s="397"/>
      <c r="G12" s="397">
        <f>SUM(G10:G11)</f>
        <v>325227.14</v>
      </c>
      <c r="H12" s="397">
        <f>SUM(H10:H11)</f>
        <v>456243.42999999993</v>
      </c>
      <c r="I12" s="397">
        <f>SUM(I10:I11)</f>
        <v>131016.40000000001</v>
      </c>
    </row>
    <row r="13" spans="1:10">
      <c r="A13" s="340"/>
      <c r="B13" s="340"/>
      <c r="C13" s="340"/>
      <c r="D13" s="382"/>
      <c r="E13" s="382"/>
      <c r="F13" s="422"/>
      <c r="G13" s="382"/>
      <c r="H13" s="382"/>
      <c r="I13" s="382"/>
    </row>
    <row r="14" spans="1:10">
      <c r="D14" s="382"/>
      <c r="E14" s="382"/>
      <c r="F14" s="393"/>
      <c r="G14" s="394"/>
      <c r="H14" s="382"/>
      <c r="I14" s="394"/>
    </row>
    <row r="15" spans="1:10">
      <c r="C15" s="340" t="s">
        <v>568</v>
      </c>
      <c r="D15" s="382"/>
      <c r="E15" s="382"/>
      <c r="F15" s="393"/>
      <c r="G15" s="394"/>
      <c r="H15" s="382"/>
      <c r="I15" s="394"/>
    </row>
    <row r="16" spans="1:10">
      <c r="A16" s="339" t="s">
        <v>511</v>
      </c>
      <c r="B16" s="339" t="s">
        <v>569</v>
      </c>
      <c r="C16" s="377" t="s">
        <v>570</v>
      </c>
      <c r="D16" s="382">
        <f>'Rate Base'!F16</f>
        <v>102605.64000000001</v>
      </c>
      <c r="E16" s="382">
        <f>'Rate Base'!F66</f>
        <v>70348.5</v>
      </c>
      <c r="F16" s="393">
        <f t="shared" ref="F16:F20" si="0">E16/D16</f>
        <v>0.68562020567290449</v>
      </c>
      <c r="G16" s="394">
        <f t="shared" ref="G16:G20" si="1">D16-E16</f>
        <v>32257.140000000014</v>
      </c>
      <c r="H16" s="949">
        <v>102605.64000000001</v>
      </c>
      <c r="I16" s="950">
        <v>70348.51999999999</v>
      </c>
      <c r="J16" s="395"/>
    </row>
    <row r="17" spans="1:9">
      <c r="A17" s="339" t="s">
        <v>512</v>
      </c>
      <c r="B17" s="339" t="s">
        <v>571</v>
      </c>
      <c r="C17" s="377" t="s">
        <v>572</v>
      </c>
      <c r="D17" s="382">
        <f>'Rate Base'!F17</f>
        <v>21626.02</v>
      </c>
      <c r="E17" s="382">
        <f>'Rate Base'!F67</f>
        <v>10067.08</v>
      </c>
      <c r="F17" s="393">
        <f t="shared" si="0"/>
        <v>0.46550775408512524</v>
      </c>
      <c r="G17" s="394">
        <f t="shared" si="1"/>
        <v>11558.94</v>
      </c>
      <c r="H17" s="949">
        <v>41674.21</v>
      </c>
      <c r="I17" s="950">
        <v>19399.667900371864</v>
      </c>
    </row>
    <row r="18" spans="1:9">
      <c r="A18" s="339" t="s">
        <v>513</v>
      </c>
      <c r="B18" s="339" t="s">
        <v>573</v>
      </c>
      <c r="C18" s="377" t="s">
        <v>574</v>
      </c>
      <c r="D18" s="382">
        <f>'Rate Base'!F18</f>
        <v>22186184.389999997</v>
      </c>
      <c r="E18" s="382">
        <f>'Rate Base'!F68</f>
        <v>12600753.33</v>
      </c>
      <c r="F18" s="393">
        <f t="shared" si="0"/>
        <v>0.56795495379005101</v>
      </c>
      <c r="G18" s="394">
        <f t="shared" si="1"/>
        <v>9585431.0599999968</v>
      </c>
      <c r="H18" s="949">
        <v>61588173.359999992</v>
      </c>
      <c r="I18" s="950">
        <v>34979308.071413353</v>
      </c>
    </row>
    <row r="19" spans="1:9">
      <c r="A19" s="339" t="s">
        <v>514</v>
      </c>
      <c r="B19" s="339" t="s">
        <v>575</v>
      </c>
      <c r="C19" s="377" t="s">
        <v>576</v>
      </c>
      <c r="D19" s="382">
        <f>'Rate Base'!F19</f>
        <v>3460585.6700000004</v>
      </c>
      <c r="E19" s="382">
        <f>'Rate Base'!F69</f>
        <v>2173130.7000000002</v>
      </c>
      <c r="F19" s="393">
        <f t="shared" si="0"/>
        <v>0.62796616157749963</v>
      </c>
      <c r="G19" s="394">
        <f t="shared" si="1"/>
        <v>1287454.9700000002</v>
      </c>
      <c r="H19" s="949">
        <v>10699058.99</v>
      </c>
      <c r="I19" s="950">
        <v>6718646.8209401211</v>
      </c>
    </row>
    <row r="20" spans="1:9">
      <c r="A20" s="339" t="s">
        <v>515</v>
      </c>
      <c r="B20" s="339" t="s">
        <v>577</v>
      </c>
      <c r="C20" s="377" t="s">
        <v>578</v>
      </c>
      <c r="D20" s="382">
        <f>'Rate Base'!F20</f>
        <v>183581.23</v>
      </c>
      <c r="E20" s="382">
        <f>'Rate Base'!F70</f>
        <v>177972.80000000002</v>
      </c>
      <c r="F20" s="393">
        <f t="shared" si="0"/>
        <v>0.96944987240797986</v>
      </c>
      <c r="G20" s="394">
        <f t="shared" si="1"/>
        <v>5608.429999999993</v>
      </c>
      <c r="H20" s="949">
        <v>183581.23</v>
      </c>
      <c r="I20" s="950">
        <v>177972.8</v>
      </c>
    </row>
    <row r="21" spans="1:9">
      <c r="A21" s="396"/>
      <c r="B21" s="396"/>
      <c r="C21" s="377" t="s">
        <v>579</v>
      </c>
      <c r="D21" s="397">
        <f>SUM(D16:D20)</f>
        <v>25954582.949999999</v>
      </c>
      <c r="E21" s="397">
        <f>SUM(E16:E20)</f>
        <v>15032272.41</v>
      </c>
      <c r="F21" s="397"/>
      <c r="G21" s="397">
        <f>SUM(G16:G20)</f>
        <v>10922310.539999997</v>
      </c>
      <c r="H21" s="397">
        <f>SUM(H16:H20)</f>
        <v>72615093.429999992</v>
      </c>
      <c r="I21" s="397">
        <f>SUM(I16:I20)</f>
        <v>41965675.880253844</v>
      </c>
    </row>
    <row r="22" spans="1:9">
      <c r="A22" s="340"/>
      <c r="B22" s="340"/>
      <c r="C22" s="340"/>
      <c r="D22" s="382"/>
      <c r="E22" s="382"/>
      <c r="F22" s="398"/>
      <c r="G22" s="382"/>
      <c r="H22" s="382"/>
      <c r="I22" s="382"/>
    </row>
    <row r="23" spans="1:9">
      <c r="D23" s="399"/>
      <c r="E23" s="382"/>
      <c r="F23" s="393"/>
      <c r="G23" s="394"/>
      <c r="H23" s="382"/>
      <c r="I23" s="394"/>
    </row>
    <row r="24" spans="1:9">
      <c r="C24" s="340" t="s">
        <v>580</v>
      </c>
      <c r="D24" s="399"/>
      <c r="E24" s="382"/>
      <c r="F24" s="393"/>
      <c r="G24" s="394"/>
      <c r="H24" s="382"/>
      <c r="I24" s="394"/>
    </row>
    <row r="25" spans="1:9">
      <c r="A25" s="339" t="s">
        <v>516</v>
      </c>
      <c r="B25" s="339" t="s">
        <v>581</v>
      </c>
      <c r="C25" s="377" t="s">
        <v>582</v>
      </c>
      <c r="D25" s="382">
        <f>'Rate Base'!F24</f>
        <v>452880.97000000009</v>
      </c>
      <c r="E25" s="382">
        <f>'Rate Base'!F75</f>
        <v>-55240.160000000003</v>
      </c>
      <c r="F25" s="393">
        <f t="shared" ref="F25:F36" si="2">E25/D25</f>
        <v>-0.12197500813513977</v>
      </c>
      <c r="G25" s="394">
        <f t="shared" ref="G25:G36" si="3">D25-E25</f>
        <v>508121.13000000012</v>
      </c>
      <c r="H25" s="949">
        <v>453130.97000000003</v>
      </c>
      <c r="I25" s="950">
        <v>-55270.65375203381</v>
      </c>
    </row>
    <row r="26" spans="1:9">
      <c r="A26" s="339" t="s">
        <v>517</v>
      </c>
      <c r="B26" s="339" t="s">
        <v>583</v>
      </c>
      <c r="C26" s="377" t="s">
        <v>584</v>
      </c>
      <c r="D26" s="382">
        <f>'Rate Base'!F25</f>
        <v>163164.05000000002</v>
      </c>
      <c r="E26" s="382">
        <f>'Rate Base'!F76</f>
        <v>23984.210000000003</v>
      </c>
      <c r="F26" s="393">
        <f t="shared" si="2"/>
        <v>0.14699445128997471</v>
      </c>
      <c r="G26" s="394">
        <f t="shared" si="3"/>
        <v>139179.84000000003</v>
      </c>
      <c r="H26" s="949">
        <v>224210.72000000003</v>
      </c>
      <c r="I26" s="950">
        <v>32957.731759730159</v>
      </c>
    </row>
    <row r="27" spans="1:9">
      <c r="A27" s="339" t="s">
        <v>518</v>
      </c>
      <c r="B27" s="339" t="s">
        <v>585</v>
      </c>
      <c r="C27" s="377" t="s">
        <v>586</v>
      </c>
      <c r="D27" s="382">
        <f>'Rate Base'!F26</f>
        <v>259465815.25</v>
      </c>
      <c r="E27" s="382">
        <f>'Rate Base'!F77</f>
        <v>129969173.11</v>
      </c>
      <c r="F27" s="393">
        <f t="shared" si="2"/>
        <v>0.50091058425084767</v>
      </c>
      <c r="G27" s="394">
        <f t="shared" si="3"/>
        <v>129496642.14</v>
      </c>
      <c r="H27" s="949">
        <v>706017901.87947929</v>
      </c>
      <c r="I27" s="950">
        <v>353651836.10301912</v>
      </c>
    </row>
    <row r="28" spans="1:9">
      <c r="A28" s="339" t="s">
        <v>519</v>
      </c>
      <c r="B28" s="339" t="s">
        <v>587</v>
      </c>
      <c r="C28" s="377" t="s">
        <v>588</v>
      </c>
      <c r="D28" s="382">
        <f>'Rate Base'!F27</f>
        <v>5463158.4500000002</v>
      </c>
      <c r="E28" s="382">
        <f>'Rate Base'!F78</f>
        <v>2688149.48</v>
      </c>
      <c r="F28" s="393">
        <f t="shared" si="2"/>
        <v>0.49205043284073152</v>
      </c>
      <c r="G28" s="394">
        <f t="shared" si="3"/>
        <v>2775008.97</v>
      </c>
      <c r="H28" s="949">
        <v>14886146.590000004</v>
      </c>
      <c r="I28" s="950">
        <v>7324735.1181742661</v>
      </c>
    </row>
    <row r="29" spans="1:9">
      <c r="A29" s="339" t="s">
        <v>520</v>
      </c>
      <c r="B29" s="339" t="s">
        <v>589</v>
      </c>
      <c r="C29" s="377" t="s">
        <v>590</v>
      </c>
      <c r="D29" s="382">
        <f>'Rate Base'!F28</f>
        <v>5891961.3899999997</v>
      </c>
      <c r="E29" s="382">
        <f>'Rate Base'!F79</f>
        <v>2231031.83</v>
      </c>
      <c r="F29" s="393">
        <f t="shared" si="2"/>
        <v>0.3786568991756411</v>
      </c>
      <c r="G29" s="394">
        <f t="shared" si="3"/>
        <v>3660929.5599999996</v>
      </c>
      <c r="H29" s="949">
        <v>15634463.600000005</v>
      </c>
      <c r="I29" s="950">
        <v>5920097.7193323849</v>
      </c>
    </row>
    <row r="30" spans="1:9">
      <c r="A30" s="339" t="s">
        <v>521</v>
      </c>
      <c r="B30" s="339" t="s">
        <v>591</v>
      </c>
      <c r="C30" s="377" t="s">
        <v>592</v>
      </c>
      <c r="D30" s="382">
        <f>'Rate Base'!F29</f>
        <v>178729769.45000002</v>
      </c>
      <c r="E30" s="382">
        <f>'Rate Base'!F80</f>
        <v>80140287.689999998</v>
      </c>
      <c r="F30" s="393">
        <f t="shared" si="2"/>
        <v>0.44838802140579825</v>
      </c>
      <c r="G30" s="394">
        <f t="shared" si="3"/>
        <v>98589481.76000002</v>
      </c>
      <c r="H30" s="949">
        <v>335412412.56738287</v>
      </c>
      <c r="I30" s="950">
        <v>150394905.21106589</v>
      </c>
    </row>
    <row r="31" spans="1:9">
      <c r="A31" s="339" t="s">
        <v>522</v>
      </c>
      <c r="B31" s="339" t="s">
        <v>593</v>
      </c>
      <c r="C31" s="377" t="s">
        <v>594</v>
      </c>
      <c r="D31" s="382">
        <f>'Rate Base'!F30</f>
        <v>41939892.090000004</v>
      </c>
      <c r="E31" s="382">
        <f>'Rate Base'!F81</f>
        <v>9067765.3300000001</v>
      </c>
      <c r="F31" s="393">
        <f t="shared" si="2"/>
        <v>0.21620859945326576</v>
      </c>
      <c r="G31" s="394">
        <f t="shared" si="3"/>
        <v>32872126.760000005</v>
      </c>
      <c r="H31" s="949">
        <v>75245408.140000001</v>
      </c>
      <c r="I31" s="950">
        <v>16268731.203172248</v>
      </c>
    </row>
    <row r="32" spans="1:9">
      <c r="A32" s="339" t="s">
        <v>523</v>
      </c>
      <c r="B32" s="339" t="s">
        <v>595</v>
      </c>
      <c r="C32" s="377" t="s">
        <v>596</v>
      </c>
      <c r="D32" s="382">
        <f>'Rate Base'!F31</f>
        <v>15004792.869999999</v>
      </c>
      <c r="E32" s="382">
        <f>'Rate Base'!F82</f>
        <v>2648967.31</v>
      </c>
      <c r="F32" s="393">
        <f t="shared" si="2"/>
        <v>0.17654141133105827</v>
      </c>
      <c r="G32" s="394">
        <f t="shared" si="3"/>
        <v>12355825.559999999</v>
      </c>
      <c r="H32" s="949">
        <v>44175294.039999999</v>
      </c>
      <c r="I32" s="950">
        <v>7798778.1179569755</v>
      </c>
    </row>
    <row r="33" spans="1:9">
      <c r="A33" s="339" t="s">
        <v>524</v>
      </c>
      <c r="B33" s="339" t="s">
        <v>597</v>
      </c>
      <c r="C33" s="377" t="s">
        <v>598</v>
      </c>
      <c r="D33" s="382">
        <f>'Rate Base'!F32</f>
        <v>4981900.8</v>
      </c>
      <c r="E33" s="382">
        <f>'Rate Base'!F83</f>
        <v>2797175.42</v>
      </c>
      <c r="F33" s="393">
        <f t="shared" si="2"/>
        <v>0.56146750653886968</v>
      </c>
      <c r="G33" s="394">
        <f t="shared" si="3"/>
        <v>2184725.38</v>
      </c>
      <c r="H33" s="949">
        <v>10557902.589999994</v>
      </c>
      <c r="I33" s="950">
        <v>5927919.0083698677</v>
      </c>
    </row>
    <row r="34" spans="1:9">
      <c r="A34" s="339" t="s">
        <v>525</v>
      </c>
      <c r="B34" s="339" t="s">
        <v>599</v>
      </c>
      <c r="C34" s="377" t="s">
        <v>600</v>
      </c>
      <c r="D34" s="382">
        <f>'Rate Base'!F33</f>
        <v>4325808.3899999997</v>
      </c>
      <c r="E34" s="382">
        <f>'Rate Base'!F84</f>
        <v>1639085.8699999999</v>
      </c>
      <c r="F34" s="393">
        <f t="shared" si="2"/>
        <v>0.37890856973440751</v>
      </c>
      <c r="G34" s="394">
        <f t="shared" si="3"/>
        <v>2686722.5199999996</v>
      </c>
      <c r="H34" s="949">
        <v>11652680.819999995</v>
      </c>
      <c r="I34" s="950">
        <v>4415300.4883898636</v>
      </c>
    </row>
    <row r="35" spans="1:9">
      <c r="A35" s="339" t="s">
        <v>526</v>
      </c>
      <c r="B35" s="339" t="s">
        <v>601</v>
      </c>
      <c r="C35" s="377" t="s">
        <v>602</v>
      </c>
      <c r="D35" s="382">
        <f>'Rate Base'!F34</f>
        <v>2947401.92</v>
      </c>
      <c r="E35" s="382">
        <f>'Rate Base'!F85</f>
        <v>1288853.68</v>
      </c>
      <c r="F35" s="393">
        <f t="shared" si="2"/>
        <v>0.43728467137593502</v>
      </c>
      <c r="G35" s="394">
        <f t="shared" si="3"/>
        <v>1658548.24</v>
      </c>
      <c r="H35" s="949">
        <v>2947401.9199999981</v>
      </c>
      <c r="I35" s="950">
        <v>1288853.5100000005</v>
      </c>
    </row>
    <row r="36" spans="1:9">
      <c r="A36" s="339" t="s">
        <v>527</v>
      </c>
      <c r="B36" s="339" t="s">
        <v>603</v>
      </c>
      <c r="C36" s="377" t="s">
        <v>604</v>
      </c>
      <c r="D36" s="382">
        <f>'Rate Base'!F35</f>
        <v>2351689.92</v>
      </c>
      <c r="E36" s="382">
        <f>'Rate Base'!F86</f>
        <v>1764290.25</v>
      </c>
      <c r="F36" s="393">
        <f t="shared" si="2"/>
        <v>0.75022231247221571</v>
      </c>
      <c r="G36" s="394">
        <f t="shared" si="3"/>
        <v>587399.66999999993</v>
      </c>
      <c r="H36" s="949">
        <v>2351689.9199999995</v>
      </c>
      <c r="I36" s="950">
        <v>1764290.2500000002</v>
      </c>
    </row>
    <row r="37" spans="1:9">
      <c r="A37" s="396"/>
      <c r="B37" s="396"/>
      <c r="C37" s="377" t="s">
        <v>605</v>
      </c>
      <c r="D37" s="400">
        <f>SUM(D25:D36)</f>
        <v>521718235.55000013</v>
      </c>
      <c r="E37" s="400">
        <f>SUM(E25:E36)</f>
        <v>234203524.02000001</v>
      </c>
      <c r="F37" s="400"/>
      <c r="G37" s="400">
        <f>SUM(G25:G36)</f>
        <v>287514711.53000003</v>
      </c>
      <c r="H37" s="400">
        <f>SUM(H25:H36)</f>
        <v>1219558643.7568624</v>
      </c>
      <c r="I37" s="400">
        <f>SUM(I25:I36)</f>
        <v>554733133.80748832</v>
      </c>
    </row>
    <row r="38" spans="1:9">
      <c r="A38" s="340"/>
      <c r="B38" s="340"/>
      <c r="C38" s="340"/>
      <c r="D38" s="399"/>
      <c r="E38" s="399"/>
      <c r="F38" s="401"/>
      <c r="G38" s="399"/>
      <c r="H38" s="399"/>
      <c r="I38" s="399"/>
    </row>
    <row r="39" spans="1:9">
      <c r="D39" s="399"/>
      <c r="E39" s="382"/>
      <c r="F39" s="393"/>
      <c r="G39" s="394"/>
      <c r="H39" s="382"/>
      <c r="I39" s="394"/>
    </row>
    <row r="40" spans="1:9">
      <c r="C40" s="340" t="s">
        <v>606</v>
      </c>
      <c r="D40" s="399"/>
      <c r="E40" s="382"/>
      <c r="F40" s="393"/>
      <c r="G40" s="394"/>
      <c r="H40" s="382"/>
      <c r="I40" s="394"/>
    </row>
    <row r="41" spans="1:9">
      <c r="A41" s="339" t="s">
        <v>528</v>
      </c>
      <c r="B41" s="339" t="s">
        <v>607</v>
      </c>
      <c r="C41" s="377" t="s">
        <v>608</v>
      </c>
      <c r="D41" s="382">
        <f>'Rate Base'!F39</f>
        <v>1514321.3800000001</v>
      </c>
      <c r="E41" s="382">
        <f>'Rate Base'!F91</f>
        <v>171463.78000000003</v>
      </c>
      <c r="F41" s="393">
        <f t="shared" ref="F41:F50" si="4">E41/D41</f>
        <v>0.11322813127025917</v>
      </c>
      <c r="G41" s="394">
        <f t="shared" ref="G41:G50" si="5">D41-E41</f>
        <v>1342857.6</v>
      </c>
      <c r="H41" s="949">
        <v>1848700.9900000002</v>
      </c>
      <c r="I41" s="950">
        <v>209324.95837517804</v>
      </c>
    </row>
    <row r="42" spans="1:9">
      <c r="A42" s="339" t="s">
        <v>529</v>
      </c>
      <c r="B42" s="339" t="s">
        <v>609</v>
      </c>
      <c r="C42" s="377" t="s">
        <v>610</v>
      </c>
      <c r="D42" s="382">
        <f>'Rate Base'!F40</f>
        <v>23885149.149999999</v>
      </c>
      <c r="E42" s="382">
        <f>'Rate Base'!F92</f>
        <v>5160859.16</v>
      </c>
      <c r="F42" s="393">
        <f t="shared" si="4"/>
        <v>0.21606978995984208</v>
      </c>
      <c r="G42" s="394">
        <f t="shared" si="5"/>
        <v>18724289.989999998</v>
      </c>
      <c r="H42" s="949">
        <v>29993123.340000007</v>
      </c>
      <c r="I42" s="950">
        <v>6480588.3966120025</v>
      </c>
    </row>
    <row r="43" spans="1:9">
      <c r="A43" s="339" t="s">
        <v>530</v>
      </c>
      <c r="B43" s="339" t="s">
        <v>611</v>
      </c>
      <c r="C43" s="377" t="s">
        <v>612</v>
      </c>
      <c r="D43" s="382">
        <f>'Rate Base'!F41</f>
        <v>5042969.9799999995</v>
      </c>
      <c r="E43" s="382">
        <f>'Rate Base'!F93</f>
        <v>2528366.9000000004</v>
      </c>
      <c r="F43" s="393">
        <f t="shared" si="4"/>
        <v>0.50136465416754283</v>
      </c>
      <c r="G43" s="394">
        <f t="shared" si="5"/>
        <v>2514603.0799999991</v>
      </c>
      <c r="H43" s="949">
        <v>5108220.1900000013</v>
      </c>
      <c r="I43" s="950">
        <v>2561081.0185828442</v>
      </c>
    </row>
    <row r="44" spans="1:9">
      <c r="A44" s="339" t="s">
        <v>531</v>
      </c>
      <c r="B44" s="339" t="s">
        <v>613</v>
      </c>
      <c r="C44" s="151" t="s">
        <v>614</v>
      </c>
      <c r="D44" s="382">
        <f>'Rate Base'!F42</f>
        <v>14566588.300000001</v>
      </c>
      <c r="E44" s="382">
        <f>'Rate Base'!F94</f>
        <v>9295824.8599999994</v>
      </c>
      <c r="F44" s="393">
        <f t="shared" si="4"/>
        <v>0.63816074626067376</v>
      </c>
      <c r="G44" s="394">
        <f t="shared" si="5"/>
        <v>5270763.4400000013</v>
      </c>
      <c r="H44" s="949">
        <v>14566588.299999997</v>
      </c>
      <c r="I44" s="950">
        <v>9295824.7699999958</v>
      </c>
    </row>
    <row r="45" spans="1:9">
      <c r="A45" s="339" t="s">
        <v>532</v>
      </c>
      <c r="B45" s="339" t="s">
        <v>615</v>
      </c>
      <c r="C45" s="377" t="s">
        <v>616</v>
      </c>
      <c r="D45" s="382">
        <f>'Rate Base'!F43</f>
        <v>359295.2</v>
      </c>
      <c r="E45" s="382">
        <f>'Rate Base'!F95</f>
        <v>188535.62000000002</v>
      </c>
      <c r="F45" s="393">
        <f t="shared" si="4"/>
        <v>0.52473737472696547</v>
      </c>
      <c r="G45" s="394">
        <f t="shared" si="5"/>
        <v>170759.58</v>
      </c>
      <c r="H45" s="949">
        <v>359295.2</v>
      </c>
      <c r="I45" s="950">
        <v>188535.61000000002</v>
      </c>
    </row>
    <row r="46" spans="1:9">
      <c r="A46" s="339" t="s">
        <v>533</v>
      </c>
      <c r="B46" s="339" t="s">
        <v>617</v>
      </c>
      <c r="C46" s="377" t="s">
        <v>618</v>
      </c>
      <c r="D46" s="382">
        <f>'Rate Base'!F44</f>
        <v>6995012.5599999996</v>
      </c>
      <c r="E46" s="382">
        <f>'Rate Base'!F96</f>
        <v>2930471.17</v>
      </c>
      <c r="F46" s="393">
        <f t="shared" si="4"/>
        <v>0.41893722775531372</v>
      </c>
      <c r="G46" s="394">
        <f t="shared" si="5"/>
        <v>4064541.3899999997</v>
      </c>
      <c r="H46" s="949">
        <v>6995012.5600000005</v>
      </c>
      <c r="I46" s="950">
        <v>2930471.1799999978</v>
      </c>
    </row>
    <row r="47" spans="1:9">
      <c r="A47" s="339" t="s">
        <v>534</v>
      </c>
      <c r="B47" s="339" t="s">
        <v>619</v>
      </c>
      <c r="C47" s="377" t="s">
        <v>620</v>
      </c>
      <c r="D47" s="382">
        <f>'Rate Base'!F45</f>
        <v>90479.96</v>
      </c>
      <c r="E47" s="382">
        <f>'Rate Base'!F97</f>
        <v>53093.94000000001</v>
      </c>
      <c r="F47" s="393">
        <f t="shared" si="4"/>
        <v>0.58680330981578688</v>
      </c>
      <c r="G47" s="394">
        <f t="shared" si="5"/>
        <v>37386.019999999997</v>
      </c>
      <c r="H47" s="949">
        <v>90479.959999999992</v>
      </c>
      <c r="I47" s="950">
        <v>53093.94</v>
      </c>
    </row>
    <row r="48" spans="1:9">
      <c r="A48" s="339" t="s">
        <v>535</v>
      </c>
      <c r="B48" s="339" t="s">
        <v>621</v>
      </c>
      <c r="C48" s="377" t="s">
        <v>622</v>
      </c>
      <c r="D48" s="382">
        <f>'Rate Base'!F46</f>
        <v>3048520.8200000003</v>
      </c>
      <c r="E48" s="382">
        <f>'Rate Base'!F98</f>
        <v>1811091.8499999999</v>
      </c>
      <c r="F48" s="393">
        <f t="shared" si="4"/>
        <v>0.59408872595464168</v>
      </c>
      <c r="G48" s="394">
        <f t="shared" si="5"/>
        <v>1237428.9700000004</v>
      </c>
      <c r="H48" s="949">
        <v>3048520.8199999984</v>
      </c>
      <c r="I48" s="950">
        <v>1811091.8700000003</v>
      </c>
    </row>
    <row r="49" spans="1:9">
      <c r="A49" s="339" t="s">
        <v>536</v>
      </c>
      <c r="B49" s="339" t="s">
        <v>623</v>
      </c>
      <c r="C49" s="151" t="s">
        <v>624</v>
      </c>
      <c r="D49" s="382">
        <f>'Rate Base'!F47</f>
        <v>4214677.47</v>
      </c>
      <c r="E49" s="382">
        <f>'Rate Base'!F99</f>
        <v>1502363.8800000001</v>
      </c>
      <c r="F49" s="393">
        <f t="shared" si="4"/>
        <v>0.35645998790982225</v>
      </c>
      <c r="G49" s="394">
        <f t="shared" si="5"/>
        <v>2712313.59</v>
      </c>
      <c r="H49" s="949">
        <v>4214677.47</v>
      </c>
      <c r="I49" s="950">
        <v>1502363.8099999996</v>
      </c>
    </row>
    <row r="50" spans="1:9">
      <c r="A50" s="339" t="s">
        <v>537</v>
      </c>
      <c r="B50" s="339" t="s">
        <v>625</v>
      </c>
      <c r="C50" s="377" t="s">
        <v>626</v>
      </c>
      <c r="D50" s="382">
        <f>'Rate Base'!F48</f>
        <v>537158.2300000001</v>
      </c>
      <c r="E50" s="382">
        <f>'Rate Base'!F100</f>
        <v>295990.46000000002</v>
      </c>
      <c r="F50" s="393">
        <f t="shared" si="4"/>
        <v>0.55103029883764409</v>
      </c>
      <c r="G50" s="394">
        <f t="shared" si="5"/>
        <v>241167.77000000008</v>
      </c>
      <c r="H50" s="949">
        <v>537158.23</v>
      </c>
      <c r="I50" s="950">
        <v>295990.48000000004</v>
      </c>
    </row>
    <row r="51" spans="1:9">
      <c r="A51" s="402"/>
      <c r="B51" s="402"/>
      <c r="C51" s="377" t="s">
        <v>263</v>
      </c>
      <c r="D51" s="400">
        <f>SUM(D41:D50)</f>
        <v>60254173.050000004</v>
      </c>
      <c r="E51" s="400">
        <f>SUM(E41:E50)</f>
        <v>23938061.620000005</v>
      </c>
      <c r="F51" s="400"/>
      <c r="G51" s="400">
        <f>SUM(G41:G50)</f>
        <v>36316111.43</v>
      </c>
      <c r="H51" s="400">
        <f>SUM(H41:H50)</f>
        <v>66761777.06000001</v>
      </c>
      <c r="I51" s="400">
        <f>SUM(I41:I50)</f>
        <v>25328366.033570021</v>
      </c>
    </row>
    <row r="52" spans="1:9">
      <c r="D52" s="399"/>
      <c r="E52" s="382"/>
      <c r="F52" s="393"/>
      <c r="G52" s="394"/>
      <c r="H52" s="382"/>
      <c r="I52" s="382"/>
    </row>
    <row r="53" spans="1:9" ht="13.8" thickBot="1">
      <c r="C53" s="377" t="s">
        <v>648</v>
      </c>
      <c r="D53" s="403">
        <f>D12+D21+D37+D51</f>
        <v>608383234.98000014</v>
      </c>
      <c r="E53" s="403">
        <f>E12+E21+E37+E51</f>
        <v>273304874.34000003</v>
      </c>
      <c r="F53" s="423"/>
      <c r="G53" s="403">
        <f>G12+G21+G37+G51</f>
        <v>335078360.64000005</v>
      </c>
      <c r="H53" s="403">
        <f>H12+H21+H37+H51</f>
        <v>1359391757.6768622</v>
      </c>
      <c r="I53" s="403">
        <f>I12+I21+I37+I51</f>
        <v>622158192.12131226</v>
      </c>
    </row>
  </sheetData>
  <pageMargins left="0.7" right="0.7" top="0.75" bottom="0.75" header="0.3" footer="0.3"/>
  <pageSetup scale="81" fitToHeight="0" orientation="landscape" horizontalDpi="200" verticalDpi="200" r:id="rId1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499F3-7DE2-4C74-AD40-AC68D4D4978F}">
  <sheetPr codeName="Sheet10">
    <tabColor theme="6" tint="0.39997558519241921"/>
  </sheetPr>
  <dimension ref="A1:E129"/>
  <sheetViews>
    <sheetView zoomScale="90" zoomScaleNormal="90" workbookViewId="0">
      <pane xSplit="4" ySplit="10" topLeftCell="E11" activePane="bottomRight" state="frozen"/>
      <selection sqref="A1:F1"/>
      <selection pane="topRight" sqref="A1:F1"/>
      <selection pane="bottomLeft" sqref="A1:F1"/>
      <selection pane="bottomRight" sqref="A1:F1"/>
    </sheetView>
  </sheetViews>
  <sheetFormatPr defaultRowHeight="13.2"/>
  <cols>
    <col min="1" max="1" width="84.88671875" hidden="1" customWidth="1"/>
    <col min="2" max="2" width="20.6640625" customWidth="1"/>
    <col min="3" max="3" width="64.33203125" customWidth="1"/>
    <col min="4" max="4" width="17.109375" customWidth="1"/>
    <col min="5" max="5" width="17.33203125" bestFit="1" customWidth="1"/>
  </cols>
  <sheetData>
    <row r="1" spans="1:5">
      <c r="C1" s="473" t="s">
        <v>705</v>
      </c>
    </row>
    <row r="3" spans="1:5">
      <c r="B3" s="474" t="s">
        <v>366</v>
      </c>
    </row>
    <row r="4" spans="1:5">
      <c r="B4" s="474" t="s">
        <v>19</v>
      </c>
    </row>
    <row r="5" spans="1:5">
      <c r="B5" s="475" t="s">
        <v>1542</v>
      </c>
    </row>
    <row r="6" spans="1:5" ht="13.8" thickBot="1">
      <c r="B6" s="476" t="s">
        <v>1743</v>
      </c>
      <c r="C6" s="477"/>
      <c r="D6" s="477"/>
      <c r="E6" s="477"/>
    </row>
    <row r="7" spans="1:5" ht="13.8" thickTop="1"/>
    <row r="8" spans="1:5" ht="14.4">
      <c r="B8" t="s">
        <v>367</v>
      </c>
      <c r="C8" t="s">
        <v>367</v>
      </c>
      <c r="D8" t="s">
        <v>367</v>
      </c>
      <c r="E8" s="905" t="s">
        <v>1542</v>
      </c>
    </row>
    <row r="9" spans="1:5" ht="14.4">
      <c r="B9" s="906" t="s">
        <v>181</v>
      </c>
      <c r="C9" s="906" t="s">
        <v>19</v>
      </c>
      <c r="D9" s="906" t="s">
        <v>181</v>
      </c>
      <c r="E9" s="907"/>
    </row>
    <row r="10" spans="1:5" ht="14.4">
      <c r="B10" s="906" t="s">
        <v>181</v>
      </c>
      <c r="C10" s="906" t="s">
        <v>273</v>
      </c>
      <c r="D10" s="906" t="s">
        <v>181</v>
      </c>
      <c r="E10" s="907"/>
    </row>
    <row r="11" spans="1:5" ht="14.4">
      <c r="B11" s="906" t="s">
        <v>181</v>
      </c>
      <c r="C11" s="906" t="s">
        <v>133</v>
      </c>
      <c r="D11" s="906" t="s">
        <v>181</v>
      </c>
      <c r="E11" s="907"/>
    </row>
    <row r="12" spans="1:5">
      <c r="A12" s="250" t="str">
        <f>B12&amp;C12&amp;D12</f>
        <v>FC_101_106_114G302_SP - Franchise and ConsentsAll Locations</v>
      </c>
      <c r="B12" s="481" t="s">
        <v>706</v>
      </c>
      <c r="C12" s="481" t="s">
        <v>707</v>
      </c>
      <c r="D12" s="481" t="s">
        <v>344</v>
      </c>
      <c r="E12" s="482">
        <v>370542.09</v>
      </c>
    </row>
    <row r="13" spans="1:5">
      <c r="A13" s="250" t="str">
        <f t="shared" ref="A13:A76" si="0">B13&amp;C13&amp;D13</f>
        <v>FC_101_106_114G303_SP - Miscellaneous Intangible PlantAll Locations</v>
      </c>
      <c r="B13" s="481" t="s">
        <v>706</v>
      </c>
      <c r="C13" s="481" t="s">
        <v>708</v>
      </c>
      <c r="D13" s="481" t="s">
        <v>344</v>
      </c>
      <c r="E13" s="482">
        <v>85701.340000000011</v>
      </c>
    </row>
    <row r="14" spans="1:5" ht="14.4">
      <c r="A14" s="250" t="str">
        <f t="shared" si="0"/>
        <v xml:space="preserve"> Total Intangible PlantAll Locations</v>
      </c>
      <c r="B14" s="906" t="s">
        <v>181</v>
      </c>
      <c r="C14" s="906" t="s">
        <v>260</v>
      </c>
      <c r="D14" s="906" t="s">
        <v>344</v>
      </c>
      <c r="E14" s="908">
        <v>456243.43</v>
      </c>
    </row>
    <row r="15" spans="1:5" ht="14.4">
      <c r="A15" s="250" t="str">
        <f t="shared" si="0"/>
        <v xml:space="preserve">   </v>
      </c>
      <c r="B15" s="481" t="s">
        <v>181</v>
      </c>
      <c r="C15" s="481" t="s">
        <v>181</v>
      </c>
      <c r="D15" s="481" t="s">
        <v>181</v>
      </c>
      <c r="E15" s="907"/>
    </row>
    <row r="16" spans="1:5" ht="14.4">
      <c r="A16" s="250" t="str">
        <f t="shared" si="0"/>
        <v xml:space="preserve"> Transmission Plant </v>
      </c>
      <c r="B16" s="906" t="s">
        <v>181</v>
      </c>
      <c r="C16" s="906" t="s">
        <v>135</v>
      </c>
      <c r="D16" s="906" t="s">
        <v>181</v>
      </c>
      <c r="E16" s="907"/>
    </row>
    <row r="17" spans="1:5">
      <c r="A17" s="250" t="str">
        <f t="shared" si="0"/>
        <v>FC_101_106_114G365_SP - Land and Land RightsAll Locations</v>
      </c>
      <c r="B17" s="481" t="s">
        <v>706</v>
      </c>
      <c r="C17" s="481" t="s">
        <v>709</v>
      </c>
      <c r="D17" s="481" t="s">
        <v>344</v>
      </c>
      <c r="E17" s="482">
        <v>102605.64000000001</v>
      </c>
    </row>
    <row r="18" spans="1:5">
      <c r="A18" s="250" t="str">
        <f t="shared" si="0"/>
        <v>FC_101_106_114G366_SP - Structures and ImprovementsAll Locations</v>
      </c>
      <c r="B18" s="481" t="s">
        <v>706</v>
      </c>
      <c r="C18" s="481" t="s">
        <v>710</v>
      </c>
      <c r="D18" s="481" t="s">
        <v>344</v>
      </c>
      <c r="E18" s="482">
        <v>21626.02</v>
      </c>
    </row>
    <row r="19" spans="1:5">
      <c r="A19" s="250" t="str">
        <f t="shared" si="0"/>
        <v>FC_101_106_114G367_SP - MainsAll Locations</v>
      </c>
      <c r="B19" s="481" t="s">
        <v>706</v>
      </c>
      <c r="C19" s="481" t="s">
        <v>711</v>
      </c>
      <c r="D19" s="481" t="s">
        <v>344</v>
      </c>
      <c r="E19" s="482">
        <v>22186184.389999997</v>
      </c>
    </row>
    <row r="20" spans="1:5">
      <c r="A20" s="250" t="str">
        <f t="shared" si="0"/>
        <v>FC_101_106_114G369_SP - Measuring and Regulating Station EquipmentAll Locations</v>
      </c>
      <c r="B20" s="481" t="s">
        <v>706</v>
      </c>
      <c r="C20" s="481" t="s">
        <v>712</v>
      </c>
      <c r="D20" s="481" t="s">
        <v>344</v>
      </c>
      <c r="E20" s="482">
        <v>3460585.6700000004</v>
      </c>
    </row>
    <row r="21" spans="1:5">
      <c r="A21" s="250" t="str">
        <f t="shared" si="0"/>
        <v>FC_101_106_114G371_SP - Other EquipmentAll Locations</v>
      </c>
      <c r="B21" s="481" t="s">
        <v>706</v>
      </c>
      <c r="C21" s="481" t="s">
        <v>713</v>
      </c>
      <c r="D21" s="481" t="s">
        <v>344</v>
      </c>
      <c r="E21" s="482">
        <v>183581.23</v>
      </c>
    </row>
    <row r="22" spans="1:5" ht="14.4">
      <c r="A22" s="250" t="str">
        <f t="shared" si="0"/>
        <v xml:space="preserve"> Total Transmission PlantAll Locations</v>
      </c>
      <c r="B22" s="906" t="s">
        <v>181</v>
      </c>
      <c r="C22" s="906" t="s">
        <v>261</v>
      </c>
      <c r="D22" s="906" t="s">
        <v>344</v>
      </c>
      <c r="E22" s="908">
        <v>25954582.950000003</v>
      </c>
    </row>
    <row r="23" spans="1:5" ht="14.4">
      <c r="A23" s="250" t="str">
        <f t="shared" si="0"/>
        <v xml:space="preserve">   </v>
      </c>
      <c r="B23" s="481" t="s">
        <v>181</v>
      </c>
      <c r="C23" s="481" t="s">
        <v>181</v>
      </c>
      <c r="D23" s="481" t="s">
        <v>181</v>
      </c>
      <c r="E23" s="907"/>
    </row>
    <row r="24" spans="1:5" ht="14.4">
      <c r="A24" s="250" t="str">
        <f t="shared" si="0"/>
        <v xml:space="preserve"> Distribution Plant </v>
      </c>
      <c r="B24" s="906" t="s">
        <v>181</v>
      </c>
      <c r="C24" s="906" t="s">
        <v>136</v>
      </c>
      <c r="D24" s="906" t="s">
        <v>181</v>
      </c>
      <c r="E24" s="907"/>
    </row>
    <row r="25" spans="1:5">
      <c r="A25" s="250" t="str">
        <f t="shared" si="0"/>
        <v>FC_101_106_114G374_SP - Land and Land RightsAll Locations</v>
      </c>
      <c r="B25" s="481" t="s">
        <v>706</v>
      </c>
      <c r="C25" s="481" t="s">
        <v>1742</v>
      </c>
      <c r="D25" s="481" t="s">
        <v>344</v>
      </c>
      <c r="E25" s="482">
        <v>452880.97000000009</v>
      </c>
    </row>
    <row r="26" spans="1:5">
      <c r="A26" s="250" t="str">
        <f t="shared" si="0"/>
        <v>FC_101_106_114G375_SP - Structures and ImprovementsAll Locations</v>
      </c>
      <c r="B26" s="481" t="s">
        <v>706</v>
      </c>
      <c r="C26" s="481" t="s">
        <v>714</v>
      </c>
      <c r="D26" s="481" t="s">
        <v>344</v>
      </c>
      <c r="E26" s="482">
        <v>163164.05000000002</v>
      </c>
    </row>
    <row r="27" spans="1:5">
      <c r="A27" s="250" t="str">
        <f t="shared" si="0"/>
        <v>FC_101_106_114G376_SP - MainsAll Locations</v>
      </c>
      <c r="B27" s="481" t="s">
        <v>706</v>
      </c>
      <c r="C27" s="481" t="s">
        <v>715</v>
      </c>
      <c r="D27" s="481" t="s">
        <v>344</v>
      </c>
      <c r="E27" s="482">
        <v>259465815.25</v>
      </c>
    </row>
    <row r="28" spans="1:5">
      <c r="A28" s="250" t="str">
        <f t="shared" si="0"/>
        <v>FC_101_106_114G378_SP - Measuring and Regulating Station Equipment-GenAll Locations</v>
      </c>
      <c r="B28" s="481" t="s">
        <v>706</v>
      </c>
      <c r="C28" s="481" t="s">
        <v>716</v>
      </c>
      <c r="D28" s="481" t="s">
        <v>344</v>
      </c>
      <c r="E28" s="482">
        <v>5463158.4500000002</v>
      </c>
    </row>
    <row r="29" spans="1:5">
      <c r="A29" s="250" t="str">
        <f t="shared" si="0"/>
        <v>FC_101_106_114G379_SP - Measuring and Regulating Station Equipment-CityAll Locations</v>
      </c>
      <c r="B29" s="481" t="s">
        <v>706</v>
      </c>
      <c r="C29" s="481" t="s">
        <v>717</v>
      </c>
      <c r="D29" s="481" t="s">
        <v>344</v>
      </c>
      <c r="E29" s="482">
        <v>5891961.3899999997</v>
      </c>
    </row>
    <row r="30" spans="1:5">
      <c r="A30" s="250" t="str">
        <f t="shared" si="0"/>
        <v>FC_101_106_114G380_SP - ServicesAll Locations</v>
      </c>
      <c r="B30" s="481" t="s">
        <v>706</v>
      </c>
      <c r="C30" s="481" t="s">
        <v>718</v>
      </c>
      <c r="D30" s="481" t="s">
        <v>344</v>
      </c>
      <c r="E30" s="482">
        <v>178729769.45000002</v>
      </c>
    </row>
    <row r="31" spans="1:5">
      <c r="A31" s="250" t="str">
        <f t="shared" si="0"/>
        <v>FC_101_106_114G381_SP - MetersAll Locations</v>
      </c>
      <c r="B31" s="481" t="s">
        <v>706</v>
      </c>
      <c r="C31" s="481" t="s">
        <v>719</v>
      </c>
      <c r="D31" s="481" t="s">
        <v>344</v>
      </c>
      <c r="E31" s="482">
        <v>41939892.090000004</v>
      </c>
    </row>
    <row r="32" spans="1:5">
      <c r="A32" s="250" t="str">
        <f t="shared" si="0"/>
        <v>FC_101_106_114G382_SP - Meter InstallationsAll Locations</v>
      </c>
      <c r="B32" s="481" t="s">
        <v>706</v>
      </c>
      <c r="C32" s="481" t="s">
        <v>720</v>
      </c>
      <c r="D32" s="481" t="s">
        <v>344</v>
      </c>
      <c r="E32" s="482">
        <v>15004792.869999999</v>
      </c>
    </row>
    <row r="33" spans="1:5">
      <c r="A33" s="250" t="str">
        <f t="shared" si="0"/>
        <v>FC_101_106_114G383_SP - House RegulatorsAll Locations</v>
      </c>
      <c r="B33" s="481" t="s">
        <v>706</v>
      </c>
      <c r="C33" s="481" t="s">
        <v>721</v>
      </c>
      <c r="D33" s="481" t="s">
        <v>344</v>
      </c>
      <c r="E33" s="482">
        <v>4981900.8</v>
      </c>
    </row>
    <row r="34" spans="1:5">
      <c r="A34" s="250" t="str">
        <f t="shared" si="0"/>
        <v>FC_101_106_114G384_SP - House Regulatory InstallationsAll Locations</v>
      </c>
      <c r="B34" s="481" t="s">
        <v>706</v>
      </c>
      <c r="C34" s="481" t="s">
        <v>722</v>
      </c>
      <c r="D34" s="481" t="s">
        <v>344</v>
      </c>
      <c r="E34" s="482">
        <v>4325808.3899999997</v>
      </c>
    </row>
    <row r="35" spans="1:5">
      <c r="A35" s="250" t="str">
        <f t="shared" si="0"/>
        <v>FC_101_106_114G385_SP - Industrial Measuring Regulating Station EquipmentAll Locations</v>
      </c>
      <c r="B35" s="481" t="s">
        <v>706</v>
      </c>
      <c r="C35" s="481" t="s">
        <v>723</v>
      </c>
      <c r="D35" s="481" t="s">
        <v>344</v>
      </c>
      <c r="E35" s="482">
        <v>2947401.92</v>
      </c>
    </row>
    <row r="36" spans="1:5">
      <c r="A36" s="250" t="str">
        <f t="shared" si="0"/>
        <v>FC_101_106_114G387_SP - Other EquipmentAll Locations</v>
      </c>
      <c r="B36" s="481" t="s">
        <v>706</v>
      </c>
      <c r="C36" s="481" t="s">
        <v>724</v>
      </c>
      <c r="D36" s="481" t="s">
        <v>344</v>
      </c>
      <c r="E36" s="482">
        <v>2351689.92</v>
      </c>
    </row>
    <row r="37" spans="1:5" ht="14.4">
      <c r="A37" s="250" t="str">
        <f t="shared" si="0"/>
        <v xml:space="preserve"> Total Distribution PlantAll Locations</v>
      </c>
      <c r="B37" s="906" t="s">
        <v>181</v>
      </c>
      <c r="C37" s="906" t="s">
        <v>262</v>
      </c>
      <c r="D37" s="906" t="s">
        <v>344</v>
      </c>
      <c r="E37" s="908">
        <v>521718235.55000001</v>
      </c>
    </row>
    <row r="38" spans="1:5" ht="14.4">
      <c r="A38" s="250" t="str">
        <f t="shared" si="0"/>
        <v xml:space="preserve">   </v>
      </c>
      <c r="B38" s="481" t="s">
        <v>181</v>
      </c>
      <c r="C38" s="481" t="s">
        <v>181</v>
      </c>
      <c r="D38" s="481" t="s">
        <v>181</v>
      </c>
      <c r="E38" s="907"/>
    </row>
    <row r="39" spans="1:5" ht="14.4">
      <c r="A39" s="250" t="str">
        <f t="shared" si="0"/>
        <v xml:space="preserve"> General Plant </v>
      </c>
      <c r="B39" s="906" t="s">
        <v>181</v>
      </c>
      <c r="C39" s="906" t="s">
        <v>137</v>
      </c>
      <c r="D39" s="906" t="s">
        <v>181</v>
      </c>
      <c r="E39" s="907"/>
    </row>
    <row r="40" spans="1:5">
      <c r="A40" s="250" t="str">
        <f t="shared" si="0"/>
        <v>FC_101_106_114G389_SP - Land and Land RightsAll Locations</v>
      </c>
      <c r="B40" s="481" t="s">
        <v>706</v>
      </c>
      <c r="C40" s="481" t="s">
        <v>725</v>
      </c>
      <c r="D40" s="481" t="s">
        <v>344</v>
      </c>
      <c r="E40" s="482">
        <v>1514321.3800000001</v>
      </c>
    </row>
    <row r="41" spans="1:5">
      <c r="A41" s="250" t="str">
        <f t="shared" si="0"/>
        <v>FC_101_106_114G390_SP - Structures and ImprovementsAll Locations</v>
      </c>
      <c r="B41" s="481" t="s">
        <v>706</v>
      </c>
      <c r="C41" s="481" t="s">
        <v>726</v>
      </c>
      <c r="D41" s="481" t="s">
        <v>344</v>
      </c>
      <c r="E41" s="482">
        <v>23885149.149999999</v>
      </c>
    </row>
    <row r="42" spans="1:5">
      <c r="A42" s="250" t="str">
        <f t="shared" si="0"/>
        <v>FC_101_106_114G391_SP - Office Furniture and EquipmentAll Locations</v>
      </c>
      <c r="B42" s="481" t="s">
        <v>706</v>
      </c>
      <c r="C42" s="481" t="s">
        <v>727</v>
      </c>
      <c r="D42" s="481" t="s">
        <v>344</v>
      </c>
      <c r="E42" s="482">
        <v>5042969.9799999995</v>
      </c>
    </row>
    <row r="43" spans="1:5">
      <c r="A43" s="250" t="str">
        <f t="shared" si="0"/>
        <v>FC_101_106_114G392_SP - Transportation EquipmentAll Locations</v>
      </c>
      <c r="B43" s="481" t="s">
        <v>706</v>
      </c>
      <c r="C43" s="481" t="s">
        <v>728</v>
      </c>
      <c r="D43" s="481" t="s">
        <v>344</v>
      </c>
      <c r="E43" s="482">
        <v>14566588.300000001</v>
      </c>
    </row>
    <row r="44" spans="1:5">
      <c r="A44" s="250" t="str">
        <f t="shared" si="0"/>
        <v>FC_101_106_114G393_SP - Stores EquipmentAll Locations</v>
      </c>
      <c r="B44" s="481" t="s">
        <v>706</v>
      </c>
      <c r="C44" s="481" t="s">
        <v>729</v>
      </c>
      <c r="D44" s="481" t="s">
        <v>344</v>
      </c>
      <c r="E44" s="482">
        <v>359295.2</v>
      </c>
    </row>
    <row r="45" spans="1:5">
      <c r="A45" s="250" t="str">
        <f t="shared" si="0"/>
        <v>FC_101_106_114G394_SP - Tools - Shop and Garage EquipmentAll Locations</v>
      </c>
      <c r="B45" s="481" t="s">
        <v>706</v>
      </c>
      <c r="C45" s="481" t="s">
        <v>730</v>
      </c>
      <c r="D45" s="481" t="s">
        <v>344</v>
      </c>
      <c r="E45" s="482">
        <v>6995012.5599999996</v>
      </c>
    </row>
    <row r="46" spans="1:5">
      <c r="A46" s="250" t="str">
        <f t="shared" si="0"/>
        <v>FC_101_106_114G395_SP - Laboratory EquipmentAll Locations</v>
      </c>
      <c r="B46" s="481" t="s">
        <v>706</v>
      </c>
      <c r="C46" s="481" t="s">
        <v>731</v>
      </c>
      <c r="D46" s="481" t="s">
        <v>344</v>
      </c>
      <c r="E46" s="482">
        <v>90479.96</v>
      </c>
    </row>
    <row r="47" spans="1:5">
      <c r="A47" s="250" t="str">
        <f t="shared" si="0"/>
        <v>FC_101_106_114G396_SP - Power Operated EquipmentAll Locations</v>
      </c>
      <c r="B47" s="481" t="s">
        <v>706</v>
      </c>
      <c r="C47" s="481" t="s">
        <v>732</v>
      </c>
      <c r="D47" s="481" t="s">
        <v>344</v>
      </c>
      <c r="E47" s="482">
        <v>3048520.8200000003</v>
      </c>
    </row>
    <row r="48" spans="1:5">
      <c r="A48" s="250" t="str">
        <f t="shared" si="0"/>
        <v>FC_101_106_114G397_SP - Communication EquipmentAll Locations</v>
      </c>
      <c r="B48" s="481" t="s">
        <v>706</v>
      </c>
      <c r="C48" s="481" t="s">
        <v>733</v>
      </c>
      <c r="D48" s="481" t="s">
        <v>344</v>
      </c>
      <c r="E48" s="482">
        <v>4214677.47</v>
      </c>
    </row>
    <row r="49" spans="1:5">
      <c r="A49" s="250" t="str">
        <f t="shared" si="0"/>
        <v>FC_101_106_114G398_SP - Miscellaneous EquipmentAll Locations</v>
      </c>
      <c r="B49" s="481" t="s">
        <v>706</v>
      </c>
      <c r="C49" s="481" t="s">
        <v>734</v>
      </c>
      <c r="D49" s="481" t="s">
        <v>344</v>
      </c>
      <c r="E49" s="482">
        <v>537158.2300000001</v>
      </c>
    </row>
    <row r="50" spans="1:5" ht="14.4">
      <c r="A50" s="250" t="str">
        <f t="shared" si="0"/>
        <v xml:space="preserve"> Total General PlantAll Locations</v>
      </c>
      <c r="B50" s="906" t="s">
        <v>181</v>
      </c>
      <c r="C50" s="906" t="s">
        <v>263</v>
      </c>
      <c r="D50" s="906" t="s">
        <v>344</v>
      </c>
      <c r="E50" s="908">
        <v>60254173.049999997</v>
      </c>
    </row>
    <row r="51" spans="1:5" ht="14.4">
      <c r="A51" s="250" t="str">
        <f t="shared" si="0"/>
        <v xml:space="preserve">   </v>
      </c>
      <c r="B51" s="481" t="s">
        <v>181</v>
      </c>
      <c r="C51" s="481" t="s">
        <v>181</v>
      </c>
      <c r="D51" s="481" t="s">
        <v>181</v>
      </c>
      <c r="E51" s="907"/>
    </row>
    <row r="52" spans="1:5" ht="14.4">
      <c r="A52" s="250" t="str">
        <f t="shared" si="0"/>
        <v xml:space="preserve"> Plant in Service Summary </v>
      </c>
      <c r="B52" s="906" t="s">
        <v>181</v>
      </c>
      <c r="C52" s="906" t="s">
        <v>345</v>
      </c>
      <c r="D52" s="906" t="s">
        <v>181</v>
      </c>
      <c r="E52" s="907"/>
    </row>
    <row r="53" spans="1:5">
      <c r="A53" s="250" t="str">
        <f t="shared" si="0"/>
        <v>Intangible PlantAll Locations</v>
      </c>
      <c r="B53" s="481" t="s">
        <v>367</v>
      </c>
      <c r="C53" s="481" t="s">
        <v>133</v>
      </c>
      <c r="D53" s="481" t="s">
        <v>344</v>
      </c>
      <c r="E53" s="482">
        <v>456243.43</v>
      </c>
    </row>
    <row r="54" spans="1:5">
      <c r="A54" s="250" t="str">
        <f t="shared" si="0"/>
        <v>Transmission PlantAll Locations</v>
      </c>
      <c r="B54" s="481" t="s">
        <v>367</v>
      </c>
      <c r="C54" s="481" t="s">
        <v>135</v>
      </c>
      <c r="D54" s="481" t="s">
        <v>344</v>
      </c>
      <c r="E54" s="482">
        <v>25954582.950000003</v>
      </c>
    </row>
    <row r="55" spans="1:5">
      <c r="A55" s="250" t="str">
        <f t="shared" si="0"/>
        <v>Distribution PlantAll Locations</v>
      </c>
      <c r="B55" s="481" t="s">
        <v>367</v>
      </c>
      <c r="C55" s="481" t="s">
        <v>136</v>
      </c>
      <c r="D55" s="481" t="s">
        <v>344</v>
      </c>
      <c r="E55" s="482">
        <v>521718235.55000001</v>
      </c>
    </row>
    <row r="56" spans="1:5">
      <c r="A56" s="250" t="str">
        <f t="shared" si="0"/>
        <v>General PlantAll Locations</v>
      </c>
      <c r="B56" s="481" t="s">
        <v>367</v>
      </c>
      <c r="C56" s="481" t="s">
        <v>137</v>
      </c>
      <c r="D56" s="481" t="s">
        <v>344</v>
      </c>
      <c r="E56" s="482">
        <v>60254173.049999997</v>
      </c>
    </row>
    <row r="57" spans="1:5" ht="15" thickBot="1">
      <c r="A57" s="250" t="str">
        <f t="shared" si="0"/>
        <v xml:space="preserve"> Total Plant in Service SummaryAll Locations</v>
      </c>
      <c r="B57" s="906" t="s">
        <v>181</v>
      </c>
      <c r="C57" s="906" t="s">
        <v>346</v>
      </c>
      <c r="D57" s="906" t="s">
        <v>344</v>
      </c>
      <c r="E57" s="909">
        <v>608383234.98000002</v>
      </c>
    </row>
    <row r="58" spans="1:5" ht="15" thickTop="1">
      <c r="A58" s="250" t="str">
        <f t="shared" si="0"/>
        <v xml:space="preserve">   </v>
      </c>
      <c r="B58" s="481" t="s">
        <v>181</v>
      </c>
      <c r="C58" s="481" t="s">
        <v>181</v>
      </c>
      <c r="D58" s="481" t="s">
        <v>181</v>
      </c>
      <c r="E58" s="907"/>
    </row>
    <row r="59" spans="1:5" ht="14.4">
      <c r="A59" s="250" t="str">
        <f t="shared" si="0"/>
        <v xml:space="preserve"> Reconciliation to FERC Form I Utility Plant </v>
      </c>
      <c r="B59" s="906" t="s">
        <v>181</v>
      </c>
      <c r="C59" s="906" t="s">
        <v>735</v>
      </c>
      <c r="D59" s="906" t="s">
        <v>181</v>
      </c>
      <c r="E59" s="907"/>
    </row>
    <row r="60" spans="1:5">
      <c r="A60" s="250" t="str">
        <f t="shared" si="0"/>
        <v>FC_Utility_PlantUtility Plant (101-106, 114)All Locations</v>
      </c>
      <c r="B60" s="481" t="s">
        <v>347</v>
      </c>
      <c r="C60" s="481" t="s">
        <v>348</v>
      </c>
      <c r="D60" s="481" t="s">
        <v>344</v>
      </c>
      <c r="E60" s="482">
        <v>611101789.21999991</v>
      </c>
    </row>
    <row r="61" spans="1:5">
      <c r="A61" s="250" t="str">
        <f t="shared" si="0"/>
        <v>FC_101_1Less: Property Under Capital LeasesAll Locations</v>
      </c>
      <c r="B61" s="481" t="s">
        <v>630</v>
      </c>
      <c r="C61" s="481" t="s">
        <v>631</v>
      </c>
      <c r="D61" s="481" t="s">
        <v>344</v>
      </c>
      <c r="E61" s="482">
        <v>2384174.63</v>
      </c>
    </row>
    <row r="62" spans="1:5">
      <c r="A62" s="250" t="str">
        <f t="shared" si="0"/>
        <v>FC_105Less: Plant Held for Future UseAll Locations</v>
      </c>
      <c r="B62" s="481" t="s">
        <v>349</v>
      </c>
      <c r="C62" s="481" t="s">
        <v>350</v>
      </c>
      <c r="D62" s="481" t="s">
        <v>344</v>
      </c>
      <c r="E62" s="482">
        <v>334379.61</v>
      </c>
    </row>
    <row r="63" spans="1:5" ht="15" thickBot="1">
      <c r="A63" s="250" t="str">
        <f t="shared" si="0"/>
        <v xml:space="preserve"> Adjusted FERC Form I BalanceAll Locations</v>
      </c>
      <c r="B63" s="906" t="s">
        <v>181</v>
      </c>
      <c r="C63" s="906" t="s">
        <v>351</v>
      </c>
      <c r="D63" s="906" t="s">
        <v>344</v>
      </c>
      <c r="E63" s="909">
        <v>608383234.98000002</v>
      </c>
    </row>
    <row r="64" spans="1:5" ht="15" thickTop="1">
      <c r="A64" s="250" t="str">
        <f t="shared" si="0"/>
        <v xml:space="preserve"> DifferenceAll Locations</v>
      </c>
      <c r="B64" s="906" t="s">
        <v>181</v>
      </c>
      <c r="C64" s="906" t="s">
        <v>352</v>
      </c>
      <c r="D64" s="906" t="s">
        <v>344</v>
      </c>
      <c r="E64" s="910">
        <v>0</v>
      </c>
    </row>
    <row r="65" spans="1:5" ht="14.4">
      <c r="A65" s="250" t="str">
        <f t="shared" si="0"/>
        <v xml:space="preserve">   </v>
      </c>
      <c r="B65" s="481" t="s">
        <v>181</v>
      </c>
      <c r="C65" s="481" t="s">
        <v>181</v>
      </c>
      <c r="D65" s="481" t="s">
        <v>181</v>
      </c>
      <c r="E65" s="907"/>
    </row>
    <row r="66" spans="1:5" ht="14.4">
      <c r="A66" s="250" t="str">
        <f t="shared" si="0"/>
        <v xml:space="preserve"> Less: Assumulated Depreciation </v>
      </c>
      <c r="B66" s="906" t="s">
        <v>181</v>
      </c>
      <c r="C66" s="906" t="s">
        <v>736</v>
      </c>
      <c r="D66" s="906" t="s">
        <v>181</v>
      </c>
      <c r="E66" s="907"/>
    </row>
    <row r="67" spans="1:5" ht="14.4">
      <c r="A67" s="250" t="str">
        <f t="shared" si="0"/>
        <v xml:space="preserve"> Intangible Plant Accumulated Depreciation </v>
      </c>
      <c r="B67" s="906" t="s">
        <v>181</v>
      </c>
      <c r="C67" s="906" t="s">
        <v>277</v>
      </c>
      <c r="D67" s="906" t="s">
        <v>181</v>
      </c>
      <c r="E67" s="907"/>
    </row>
    <row r="68" spans="1:5">
      <c r="A68" s="250" t="str">
        <f t="shared" si="0"/>
        <v>FC_108_111_115G302_SP - Franchise and ConsentsAll Locations</v>
      </c>
      <c r="B68" s="481" t="s">
        <v>737</v>
      </c>
      <c r="C68" s="481" t="s">
        <v>707</v>
      </c>
      <c r="D68" s="481" t="s">
        <v>344</v>
      </c>
      <c r="E68" s="482">
        <v>105353.3</v>
      </c>
    </row>
    <row r="69" spans="1:5">
      <c r="A69" s="250" t="str">
        <f t="shared" si="0"/>
        <v>FC_108_111_115G303_SP - Miscellaneous Intangible PlantAll Locations</v>
      </c>
      <c r="B69" s="481" t="s">
        <v>737</v>
      </c>
      <c r="C69" s="481" t="s">
        <v>708</v>
      </c>
      <c r="D69" s="481" t="s">
        <v>344</v>
      </c>
      <c r="E69" s="482">
        <v>25662.99</v>
      </c>
    </row>
    <row r="70" spans="1:5" ht="14.4">
      <c r="A70" s="250" t="str">
        <f t="shared" si="0"/>
        <v xml:space="preserve"> Total Intangible Plant Accumulated DepreciationAll Locations</v>
      </c>
      <c r="B70" s="906" t="s">
        <v>181</v>
      </c>
      <c r="C70" s="906" t="s">
        <v>280</v>
      </c>
      <c r="D70" s="906" t="s">
        <v>344</v>
      </c>
      <c r="E70" s="908">
        <v>131016.29000000001</v>
      </c>
    </row>
    <row r="71" spans="1:5" ht="14.4">
      <c r="A71" s="250" t="str">
        <f t="shared" si="0"/>
        <v xml:space="preserve">   </v>
      </c>
      <c r="B71" s="481" t="s">
        <v>181</v>
      </c>
      <c r="C71" s="481" t="s">
        <v>181</v>
      </c>
      <c r="D71" s="481" t="s">
        <v>181</v>
      </c>
      <c r="E71" s="907"/>
    </row>
    <row r="72" spans="1:5" ht="14.4">
      <c r="A72" s="250" t="str">
        <f t="shared" si="0"/>
        <v xml:space="preserve"> Transmission Plant Accumulated Depreciation </v>
      </c>
      <c r="B72" s="906" t="s">
        <v>181</v>
      </c>
      <c r="C72" s="906" t="s">
        <v>353</v>
      </c>
      <c r="D72" s="906" t="s">
        <v>181</v>
      </c>
      <c r="E72" s="907"/>
    </row>
    <row r="73" spans="1:5">
      <c r="A73" s="250" t="str">
        <f t="shared" si="0"/>
        <v>FC_108_111_115G365_SP - Land and Land RightsAll Locations</v>
      </c>
      <c r="B73" s="481" t="s">
        <v>737</v>
      </c>
      <c r="C73" s="481" t="s">
        <v>709</v>
      </c>
      <c r="D73" s="481" t="s">
        <v>344</v>
      </c>
      <c r="E73" s="482">
        <v>70348.5</v>
      </c>
    </row>
    <row r="74" spans="1:5">
      <c r="A74" s="250" t="str">
        <f t="shared" si="0"/>
        <v>FC_108_111_115G366_SP - Structures and ImprovementsAll Locations</v>
      </c>
      <c r="B74" s="481" t="s">
        <v>737</v>
      </c>
      <c r="C74" s="481" t="s">
        <v>710</v>
      </c>
      <c r="D74" s="481" t="s">
        <v>344</v>
      </c>
      <c r="E74" s="482">
        <v>10067.08</v>
      </c>
    </row>
    <row r="75" spans="1:5">
      <c r="A75" s="250" t="str">
        <f t="shared" si="0"/>
        <v>FC_108_111_115G367_SP - MainsAll Locations</v>
      </c>
      <c r="B75" s="481" t="s">
        <v>737</v>
      </c>
      <c r="C75" s="481" t="s">
        <v>711</v>
      </c>
      <c r="D75" s="481" t="s">
        <v>344</v>
      </c>
      <c r="E75" s="482">
        <v>12600753.33</v>
      </c>
    </row>
    <row r="76" spans="1:5">
      <c r="A76" s="250" t="str">
        <f t="shared" si="0"/>
        <v>FC_108_111_115G369_SP - Measuring and Regulating Station EquipmentAll Locations</v>
      </c>
      <c r="B76" s="481" t="s">
        <v>737</v>
      </c>
      <c r="C76" s="481" t="s">
        <v>712</v>
      </c>
      <c r="D76" s="481" t="s">
        <v>344</v>
      </c>
      <c r="E76" s="482">
        <v>2173130.7000000002</v>
      </c>
    </row>
    <row r="77" spans="1:5">
      <c r="A77" s="250" t="str">
        <f t="shared" ref="A77:A106" si="1">B77&amp;C77&amp;D77</f>
        <v>FC_108_111_115G371_SP - Other EquipmentAll Locations</v>
      </c>
      <c r="B77" s="481" t="s">
        <v>737</v>
      </c>
      <c r="C77" s="481" t="s">
        <v>713</v>
      </c>
      <c r="D77" s="481" t="s">
        <v>344</v>
      </c>
      <c r="E77" s="482">
        <v>177972.80000000002</v>
      </c>
    </row>
    <row r="78" spans="1:5" ht="14.4">
      <c r="A78" s="250" t="str">
        <f t="shared" si="1"/>
        <v xml:space="preserve"> Total Transmission Plant Accumulated DepreciationAll Locations</v>
      </c>
      <c r="B78" s="906" t="s">
        <v>181</v>
      </c>
      <c r="C78" s="906" t="s">
        <v>283</v>
      </c>
      <c r="D78" s="906" t="s">
        <v>344</v>
      </c>
      <c r="E78" s="908">
        <v>15032272.41</v>
      </c>
    </row>
    <row r="79" spans="1:5" ht="14.4">
      <c r="A79" s="250" t="str">
        <f t="shared" si="1"/>
        <v xml:space="preserve">   </v>
      </c>
      <c r="B79" s="481" t="s">
        <v>181</v>
      </c>
      <c r="C79" s="481" t="s">
        <v>181</v>
      </c>
      <c r="D79" s="481" t="s">
        <v>181</v>
      </c>
      <c r="E79" s="907"/>
    </row>
    <row r="80" spans="1:5" ht="14.4">
      <c r="A80" s="250" t="str">
        <f t="shared" si="1"/>
        <v xml:space="preserve"> Distribution Plant Accumulated Depreciation </v>
      </c>
      <c r="B80" s="906" t="s">
        <v>181</v>
      </c>
      <c r="C80" s="906" t="s">
        <v>354</v>
      </c>
      <c r="D80" s="906" t="s">
        <v>181</v>
      </c>
      <c r="E80" s="907"/>
    </row>
    <row r="81" spans="1:5">
      <c r="A81" s="250" t="str">
        <f t="shared" si="1"/>
        <v>FC_108_111_115G374_SP - Land and Land RightsAll Locations</v>
      </c>
      <c r="B81" s="481" t="s">
        <v>737</v>
      </c>
      <c r="C81" s="481" t="s">
        <v>1742</v>
      </c>
      <c r="D81" s="481" t="s">
        <v>344</v>
      </c>
      <c r="E81" s="482">
        <v>-55240.160000000003</v>
      </c>
    </row>
    <row r="82" spans="1:5">
      <c r="A82" s="250" t="str">
        <f t="shared" si="1"/>
        <v>FC_108_111_115G375_SP - Structures and ImprovementsAll Locations</v>
      </c>
      <c r="B82" s="481" t="s">
        <v>737</v>
      </c>
      <c r="C82" s="481" t="s">
        <v>714</v>
      </c>
      <c r="D82" s="481" t="s">
        <v>344</v>
      </c>
      <c r="E82" s="482">
        <v>23984.210000000003</v>
      </c>
    </row>
    <row r="83" spans="1:5">
      <c r="A83" s="250" t="str">
        <f t="shared" si="1"/>
        <v>FC_108_111_115G376_SP - MainsAll Locations</v>
      </c>
      <c r="B83" s="481" t="s">
        <v>737</v>
      </c>
      <c r="C83" s="481" t="s">
        <v>715</v>
      </c>
      <c r="D83" s="481" t="s">
        <v>344</v>
      </c>
      <c r="E83" s="482">
        <v>129969173.11</v>
      </c>
    </row>
    <row r="84" spans="1:5">
      <c r="A84" s="250" t="str">
        <f t="shared" si="1"/>
        <v>FC_108_111_115G378_SP - Measuring and Regulating Station Equipment-GenAll Locations</v>
      </c>
      <c r="B84" s="481" t="s">
        <v>737</v>
      </c>
      <c r="C84" s="481" t="s">
        <v>716</v>
      </c>
      <c r="D84" s="481" t="s">
        <v>344</v>
      </c>
      <c r="E84" s="482">
        <v>2688149.48</v>
      </c>
    </row>
    <row r="85" spans="1:5">
      <c r="A85" s="250" t="str">
        <f t="shared" si="1"/>
        <v>FC_108_111_115G379_SP - Measuring and Regulating Station Equipment-CityAll Locations</v>
      </c>
      <c r="B85" s="481" t="s">
        <v>737</v>
      </c>
      <c r="C85" s="481" t="s">
        <v>717</v>
      </c>
      <c r="D85" s="481" t="s">
        <v>344</v>
      </c>
      <c r="E85" s="482">
        <v>2231031.83</v>
      </c>
    </row>
    <row r="86" spans="1:5">
      <c r="A86" s="250" t="str">
        <f t="shared" si="1"/>
        <v>FC_108_111_115G380_SP - ServicesAll Locations</v>
      </c>
      <c r="B86" s="481" t="s">
        <v>737</v>
      </c>
      <c r="C86" s="481" t="s">
        <v>718</v>
      </c>
      <c r="D86" s="481" t="s">
        <v>344</v>
      </c>
      <c r="E86" s="482">
        <v>80140287.689999998</v>
      </c>
    </row>
    <row r="87" spans="1:5">
      <c r="A87" s="250" t="str">
        <f t="shared" si="1"/>
        <v>FC_108_111_115G381_SP - MetersAll Locations</v>
      </c>
      <c r="B87" s="481" t="s">
        <v>737</v>
      </c>
      <c r="C87" s="481" t="s">
        <v>719</v>
      </c>
      <c r="D87" s="481" t="s">
        <v>344</v>
      </c>
      <c r="E87" s="482">
        <v>9067765.3300000001</v>
      </c>
    </row>
    <row r="88" spans="1:5">
      <c r="A88" s="250" t="str">
        <f t="shared" si="1"/>
        <v>FC_108_111_115G382_SP - Meter InstallationsAll Locations</v>
      </c>
      <c r="B88" s="481" t="s">
        <v>737</v>
      </c>
      <c r="C88" s="481" t="s">
        <v>720</v>
      </c>
      <c r="D88" s="481" t="s">
        <v>344</v>
      </c>
      <c r="E88" s="482">
        <v>2648967.31</v>
      </c>
    </row>
    <row r="89" spans="1:5">
      <c r="A89" s="250" t="str">
        <f t="shared" si="1"/>
        <v>FC_108_111_115G383_SP - House RegulatorsAll Locations</v>
      </c>
      <c r="B89" s="481" t="s">
        <v>737</v>
      </c>
      <c r="C89" s="481" t="s">
        <v>721</v>
      </c>
      <c r="D89" s="481" t="s">
        <v>344</v>
      </c>
      <c r="E89" s="482">
        <v>2797175.42</v>
      </c>
    </row>
    <row r="90" spans="1:5">
      <c r="A90" s="250" t="str">
        <f t="shared" si="1"/>
        <v>FC_108_111_115G384_SP - House Regulatory InstallationsAll Locations</v>
      </c>
      <c r="B90" s="481" t="s">
        <v>737</v>
      </c>
      <c r="C90" s="481" t="s">
        <v>722</v>
      </c>
      <c r="D90" s="481" t="s">
        <v>344</v>
      </c>
      <c r="E90" s="482">
        <v>1639085.8699999999</v>
      </c>
    </row>
    <row r="91" spans="1:5">
      <c r="A91" s="250" t="str">
        <f t="shared" si="1"/>
        <v>FC_108_111_115G385_SP - Industrial Measuring Regulating Station EquipmentAll Locations</v>
      </c>
      <c r="B91" s="481" t="s">
        <v>737</v>
      </c>
      <c r="C91" s="481" t="s">
        <v>723</v>
      </c>
      <c r="D91" s="481" t="s">
        <v>344</v>
      </c>
      <c r="E91" s="482">
        <v>1288853.68</v>
      </c>
    </row>
    <row r="92" spans="1:5">
      <c r="A92" s="250" t="str">
        <f t="shared" si="1"/>
        <v>FC_108_111_115G387_SP - Other EquipmentAll Locations</v>
      </c>
      <c r="B92" s="481" t="s">
        <v>737</v>
      </c>
      <c r="C92" s="481" t="s">
        <v>724</v>
      </c>
      <c r="D92" s="481" t="s">
        <v>344</v>
      </c>
      <c r="E92" s="482">
        <v>1764290.25</v>
      </c>
    </row>
    <row r="93" spans="1:5" ht="14.4">
      <c r="A93" s="250" t="str">
        <f t="shared" si="1"/>
        <v xml:space="preserve"> Total Distribution Plant Accumulated DepreciationAll Locations</v>
      </c>
      <c r="B93" s="906" t="s">
        <v>181</v>
      </c>
      <c r="C93" s="906" t="s">
        <v>291</v>
      </c>
      <c r="D93" s="906" t="s">
        <v>344</v>
      </c>
      <c r="E93" s="908">
        <v>234203524.01999998</v>
      </c>
    </row>
    <row r="94" spans="1:5" ht="14.4">
      <c r="A94" s="250" t="str">
        <f t="shared" si="1"/>
        <v xml:space="preserve">   </v>
      </c>
      <c r="B94" s="481" t="s">
        <v>181</v>
      </c>
      <c r="C94" s="481" t="s">
        <v>181</v>
      </c>
      <c r="D94" s="481" t="s">
        <v>181</v>
      </c>
      <c r="E94" s="907"/>
    </row>
    <row r="95" spans="1:5" ht="14.4">
      <c r="A95" s="250" t="str">
        <f t="shared" si="1"/>
        <v xml:space="preserve"> General Plant Accumulated Depreciation </v>
      </c>
      <c r="B95" s="906" t="s">
        <v>181</v>
      </c>
      <c r="C95" s="906" t="s">
        <v>355</v>
      </c>
      <c r="D95" s="906" t="s">
        <v>181</v>
      </c>
      <c r="E95" s="907"/>
    </row>
    <row r="96" spans="1:5">
      <c r="A96" s="250" t="str">
        <f t="shared" si="1"/>
        <v>FC_108_111_115G389_SP - Land and Land RightsAll Locations</v>
      </c>
      <c r="B96" s="481" t="s">
        <v>737</v>
      </c>
      <c r="C96" s="481" t="s">
        <v>725</v>
      </c>
      <c r="D96" s="481" t="s">
        <v>344</v>
      </c>
      <c r="E96" s="482">
        <v>171463.78000000003</v>
      </c>
    </row>
    <row r="97" spans="1:5">
      <c r="A97" s="250" t="str">
        <f t="shared" si="1"/>
        <v>FC_108_111_115G390_SP - Structures and ImprovementsAll Locations</v>
      </c>
      <c r="B97" s="481" t="s">
        <v>737</v>
      </c>
      <c r="C97" s="481" t="s">
        <v>726</v>
      </c>
      <c r="D97" s="481" t="s">
        <v>344</v>
      </c>
      <c r="E97" s="482">
        <v>5160859.16</v>
      </c>
    </row>
    <row r="98" spans="1:5">
      <c r="A98" s="250" t="str">
        <f t="shared" si="1"/>
        <v>FC_108_111_115G391_SP - Office Furniture and EquipmentAll Locations</v>
      </c>
      <c r="B98" s="481" t="s">
        <v>737</v>
      </c>
      <c r="C98" s="481" t="s">
        <v>727</v>
      </c>
      <c r="D98" s="481" t="s">
        <v>344</v>
      </c>
      <c r="E98" s="482">
        <v>2528366.9000000004</v>
      </c>
    </row>
    <row r="99" spans="1:5">
      <c r="A99" s="250" t="str">
        <f t="shared" si="1"/>
        <v>FC_108_111_115G392_SP - Transportation EquipmentAll Locations</v>
      </c>
      <c r="B99" s="481" t="s">
        <v>737</v>
      </c>
      <c r="C99" s="481" t="s">
        <v>728</v>
      </c>
      <c r="D99" s="481" t="s">
        <v>344</v>
      </c>
      <c r="E99" s="482">
        <v>9295824.8599999994</v>
      </c>
    </row>
    <row r="100" spans="1:5">
      <c r="A100" s="250" t="str">
        <f t="shared" si="1"/>
        <v>FC_108_111_115G393_SP - Stores EquipmentAll Locations</v>
      </c>
      <c r="B100" s="481" t="s">
        <v>737</v>
      </c>
      <c r="C100" s="481" t="s">
        <v>729</v>
      </c>
      <c r="D100" s="481" t="s">
        <v>344</v>
      </c>
      <c r="E100" s="482">
        <v>188535.62000000002</v>
      </c>
    </row>
    <row r="101" spans="1:5">
      <c r="A101" s="250" t="str">
        <f t="shared" si="1"/>
        <v>FC_108_111_115G394_SP - Tools - Shop and Garage EquipmentAll Locations</v>
      </c>
      <c r="B101" s="481" t="s">
        <v>737</v>
      </c>
      <c r="C101" s="481" t="s">
        <v>730</v>
      </c>
      <c r="D101" s="481" t="s">
        <v>344</v>
      </c>
      <c r="E101" s="482">
        <v>2930471.17</v>
      </c>
    </row>
    <row r="102" spans="1:5">
      <c r="A102" s="250" t="str">
        <f t="shared" si="1"/>
        <v>FC_108_111_115G395_SP - Laboratory EquipmentAll Locations</v>
      </c>
      <c r="B102" s="481" t="s">
        <v>737</v>
      </c>
      <c r="C102" s="481" t="s">
        <v>731</v>
      </c>
      <c r="D102" s="481" t="s">
        <v>344</v>
      </c>
      <c r="E102" s="482">
        <v>53093.94000000001</v>
      </c>
    </row>
    <row r="103" spans="1:5">
      <c r="A103" s="250" t="str">
        <f t="shared" si="1"/>
        <v>FC_108_111_115G396_SP - Power Operated EquipmentAll Locations</v>
      </c>
      <c r="B103" s="481" t="s">
        <v>737</v>
      </c>
      <c r="C103" s="481" t="s">
        <v>732</v>
      </c>
      <c r="D103" s="481" t="s">
        <v>344</v>
      </c>
      <c r="E103" s="482">
        <v>1811091.8499999999</v>
      </c>
    </row>
    <row r="104" spans="1:5">
      <c r="A104" s="250" t="str">
        <f t="shared" si="1"/>
        <v>FC_108_111_115G397_SP - Communication EquipmentAll Locations</v>
      </c>
      <c r="B104" s="481" t="s">
        <v>737</v>
      </c>
      <c r="C104" s="481" t="s">
        <v>733</v>
      </c>
      <c r="D104" s="481" t="s">
        <v>344</v>
      </c>
      <c r="E104" s="482">
        <v>1502363.8800000001</v>
      </c>
    </row>
    <row r="105" spans="1:5">
      <c r="A105" s="250" t="str">
        <f t="shared" si="1"/>
        <v>FC_108_111_115G398_SP - Miscellaneous EquipmentAll Locations</v>
      </c>
      <c r="B105" s="481" t="s">
        <v>737</v>
      </c>
      <c r="C105" s="481" t="s">
        <v>734</v>
      </c>
      <c r="D105" s="481" t="s">
        <v>344</v>
      </c>
      <c r="E105" s="482">
        <v>295990.46000000002</v>
      </c>
    </row>
    <row r="106" spans="1:5" ht="14.4">
      <c r="A106" s="250" t="str">
        <f t="shared" si="1"/>
        <v xml:space="preserve"> Total General Plant Accumulated DepreciationAll Locations</v>
      </c>
      <c r="B106" s="906" t="s">
        <v>181</v>
      </c>
      <c r="C106" s="906" t="s">
        <v>295</v>
      </c>
      <c r="D106" s="906" t="s">
        <v>344</v>
      </c>
      <c r="E106" s="908">
        <v>23938061.620000001</v>
      </c>
    </row>
    <row r="107" spans="1:5" ht="14.4">
      <c r="A107" s="251" t="str">
        <f>B107&amp;C107&amp;D107</f>
        <v xml:space="preserve">   </v>
      </c>
      <c r="B107" s="481" t="s">
        <v>181</v>
      </c>
      <c r="C107" s="481" t="s">
        <v>181</v>
      </c>
      <c r="D107" s="481" t="s">
        <v>181</v>
      </c>
      <c r="E107" s="907"/>
    </row>
    <row r="108" spans="1:5" ht="14.4">
      <c r="B108" s="906" t="s">
        <v>181</v>
      </c>
      <c r="C108" s="906" t="s">
        <v>356</v>
      </c>
      <c r="D108" s="906" t="s">
        <v>181</v>
      </c>
      <c r="E108" s="907"/>
    </row>
    <row r="109" spans="1:5">
      <c r="B109" s="481" t="s">
        <v>181</v>
      </c>
      <c r="C109" s="481" t="s">
        <v>133</v>
      </c>
      <c r="D109" s="481" t="s">
        <v>344</v>
      </c>
      <c r="E109" s="482">
        <v>131016.29000000001</v>
      </c>
    </row>
    <row r="110" spans="1:5">
      <c r="B110" s="481" t="s">
        <v>181</v>
      </c>
      <c r="C110" s="481" t="s">
        <v>135</v>
      </c>
      <c r="D110" s="481" t="s">
        <v>344</v>
      </c>
      <c r="E110" s="482">
        <v>15032272.41</v>
      </c>
    </row>
    <row r="111" spans="1:5">
      <c r="B111" s="481" t="s">
        <v>181</v>
      </c>
      <c r="C111" s="481" t="s">
        <v>136</v>
      </c>
      <c r="D111" s="481" t="s">
        <v>344</v>
      </c>
      <c r="E111" s="482">
        <v>234203524.01999998</v>
      </c>
    </row>
    <row r="112" spans="1:5">
      <c r="B112" s="481" t="s">
        <v>181</v>
      </c>
      <c r="C112" s="481" t="s">
        <v>137</v>
      </c>
      <c r="D112" s="481" t="s">
        <v>344</v>
      </c>
      <c r="E112" s="482">
        <v>23938061.620000001</v>
      </c>
    </row>
    <row r="113" spans="2:5" ht="15" thickBot="1">
      <c r="B113" s="906" t="s">
        <v>181</v>
      </c>
      <c r="C113" s="906" t="s">
        <v>357</v>
      </c>
      <c r="D113" s="906" t="s">
        <v>344</v>
      </c>
      <c r="E113" s="909">
        <v>273304874.33999997</v>
      </c>
    </row>
    <row r="114" spans="2:5" ht="15" thickTop="1">
      <c r="B114" s="481" t="s">
        <v>181</v>
      </c>
      <c r="C114" s="481" t="s">
        <v>181</v>
      </c>
      <c r="D114" s="481" t="s">
        <v>181</v>
      </c>
      <c r="E114" s="907"/>
    </row>
    <row r="115" spans="2:5" ht="14.4">
      <c r="B115" s="906" t="s">
        <v>181</v>
      </c>
      <c r="C115" s="906" t="s">
        <v>738</v>
      </c>
      <c r="D115" s="906" t="s">
        <v>181</v>
      </c>
      <c r="E115" s="907"/>
    </row>
    <row r="116" spans="2:5">
      <c r="B116" s="481" t="s">
        <v>358</v>
      </c>
      <c r="C116" s="481" t="s">
        <v>359</v>
      </c>
      <c r="D116" s="481" t="s">
        <v>344</v>
      </c>
      <c r="E116" s="482">
        <v>273304874.33999997</v>
      </c>
    </row>
    <row r="117" spans="2:5">
      <c r="B117" s="481" t="s">
        <v>360</v>
      </c>
      <c r="C117" s="481" t="s">
        <v>361</v>
      </c>
      <c r="D117" s="481" t="s">
        <v>344</v>
      </c>
      <c r="E117" s="482">
        <v>42784249.409999996</v>
      </c>
    </row>
    <row r="118" spans="2:5">
      <c r="B118" s="481" t="s">
        <v>362</v>
      </c>
      <c r="C118" s="481" t="s">
        <v>363</v>
      </c>
      <c r="D118" s="481" t="s">
        <v>344</v>
      </c>
      <c r="E118" s="482">
        <v>-42784249.409999996</v>
      </c>
    </row>
    <row r="119" spans="2:5" ht="15" thickBot="1">
      <c r="B119" s="906" t="s">
        <v>181</v>
      </c>
      <c r="C119" s="906" t="s">
        <v>351</v>
      </c>
      <c r="D119" s="906" t="s">
        <v>344</v>
      </c>
      <c r="E119" s="909">
        <v>273304874.33999997</v>
      </c>
    </row>
    <row r="120" spans="2:5" ht="15" thickTop="1">
      <c r="B120" s="906" t="s">
        <v>181</v>
      </c>
      <c r="C120" s="906" t="s">
        <v>352</v>
      </c>
      <c r="D120" s="906" t="s">
        <v>344</v>
      </c>
      <c r="E120" s="910">
        <v>0</v>
      </c>
    </row>
    <row r="121" spans="2:5" ht="14.4">
      <c r="B121" s="481" t="s">
        <v>181</v>
      </c>
      <c r="C121" s="481" t="s">
        <v>181</v>
      </c>
      <c r="D121" s="481" t="s">
        <v>181</v>
      </c>
      <c r="E121" s="907"/>
    </row>
    <row r="122" spans="2:5" ht="14.4">
      <c r="B122" s="906" t="s">
        <v>181</v>
      </c>
      <c r="C122" s="906" t="s">
        <v>364</v>
      </c>
      <c r="D122" s="906" t="s">
        <v>181</v>
      </c>
      <c r="E122" s="907"/>
    </row>
    <row r="123" spans="2:5">
      <c r="B123" s="481" t="s">
        <v>181</v>
      </c>
      <c r="C123" s="481" t="s">
        <v>133</v>
      </c>
      <c r="D123" s="481" t="s">
        <v>181</v>
      </c>
      <c r="E123" s="482">
        <v>325227.14000000007</v>
      </c>
    </row>
    <row r="124" spans="2:5">
      <c r="B124" s="481" t="s">
        <v>181</v>
      </c>
      <c r="C124" s="481" t="s">
        <v>135</v>
      </c>
      <c r="D124" s="481" t="s">
        <v>181</v>
      </c>
      <c r="E124" s="482">
        <v>10922310.539999999</v>
      </c>
    </row>
    <row r="125" spans="2:5">
      <c r="B125" s="481" t="s">
        <v>181</v>
      </c>
      <c r="C125" s="481" t="s">
        <v>136</v>
      </c>
      <c r="D125" s="481" t="s">
        <v>181</v>
      </c>
      <c r="E125" s="482">
        <v>287514711.52999997</v>
      </c>
    </row>
    <row r="126" spans="2:5">
      <c r="B126" s="481" t="s">
        <v>181</v>
      </c>
      <c r="C126" s="481" t="s">
        <v>137</v>
      </c>
      <c r="D126" s="481" t="s">
        <v>181</v>
      </c>
      <c r="E126" s="482">
        <v>36316111.43</v>
      </c>
    </row>
    <row r="127" spans="2:5" ht="15" thickBot="1">
      <c r="B127" s="906" t="s">
        <v>181</v>
      </c>
      <c r="C127" s="915" t="s">
        <v>365</v>
      </c>
      <c r="D127" s="481" t="s">
        <v>181</v>
      </c>
      <c r="E127" s="909">
        <v>335078360.63999999</v>
      </c>
    </row>
    <row r="128" spans="2:5" ht="13.8" thickTop="1">
      <c r="B128" s="911" t="s">
        <v>181</v>
      </c>
      <c r="C128" s="481"/>
      <c r="D128" s="481"/>
      <c r="E128" s="913"/>
    </row>
    <row r="129" spans="2:5" ht="14.4">
      <c r="B129" s="912" t="s">
        <v>181</v>
      </c>
      <c r="C129" s="481"/>
      <c r="D129" s="481"/>
      <c r="E129" s="914"/>
    </row>
  </sheetData>
  <pageMargins left="0.7" right="0.7" top="0.75" bottom="0.75" header="0.3" footer="0.3"/>
  <pageSetup scale="7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4">
    <tabColor theme="6" tint="0.39997558519241921"/>
  </sheetPr>
  <dimension ref="A1:G89"/>
  <sheetViews>
    <sheetView zoomScale="90" zoomScaleNormal="90" workbookViewId="0">
      <selection sqref="A1:F1"/>
    </sheetView>
  </sheetViews>
  <sheetFormatPr defaultColWidth="8.6640625" defaultRowHeight="13.2"/>
  <cols>
    <col min="1" max="1" width="56.44140625" customWidth="1"/>
    <col min="2" max="2" width="22.88671875" customWidth="1"/>
    <col min="3" max="3" width="4.33203125" customWidth="1"/>
    <col min="4" max="6" width="15.5546875" customWidth="1"/>
  </cols>
  <sheetData>
    <row r="1" spans="1:7">
      <c r="A1" s="1161" t="s">
        <v>1548</v>
      </c>
      <c r="B1" s="1161"/>
      <c r="E1" s="916"/>
      <c r="F1" s="916"/>
      <c r="G1" s="323" t="s">
        <v>1780</v>
      </c>
    </row>
    <row r="2" spans="1:7">
      <c r="E2" s="916"/>
      <c r="F2" s="916"/>
      <c r="G2" s="323" t="s">
        <v>1605</v>
      </c>
    </row>
    <row r="3" spans="1:7">
      <c r="A3" s="474" t="s">
        <v>366</v>
      </c>
      <c r="E3" s="916"/>
      <c r="F3" s="916"/>
    </row>
    <row r="4" spans="1:7">
      <c r="A4" s="474" t="s">
        <v>429</v>
      </c>
      <c r="E4" s="916"/>
      <c r="F4" s="916"/>
    </row>
    <row r="5" spans="1:7">
      <c r="A5" s="475" t="s">
        <v>1542</v>
      </c>
    </row>
    <row r="6" spans="1:7" ht="13.8" thickBot="1">
      <c r="A6" s="476" t="s">
        <v>1549</v>
      </c>
      <c r="B6" s="477"/>
      <c r="C6" s="477"/>
      <c r="D6" s="477"/>
    </row>
    <row r="7" spans="1:7" ht="13.8" thickTop="1"/>
    <row r="8" spans="1:7" ht="14.4">
      <c r="A8" t="s">
        <v>367</v>
      </c>
      <c r="B8" s="905" t="s">
        <v>1542</v>
      </c>
      <c r="C8" s="905"/>
      <c r="D8" s="917"/>
    </row>
    <row r="9" spans="1:7" ht="14.4">
      <c r="A9" s="906" t="s">
        <v>431</v>
      </c>
      <c r="B9" s="907">
        <v>0</v>
      </c>
      <c r="D9" s="348" t="s">
        <v>546</v>
      </c>
      <c r="E9" s="348" t="s">
        <v>547</v>
      </c>
      <c r="F9" s="348" t="s">
        <v>548</v>
      </c>
    </row>
    <row r="10" spans="1:7">
      <c r="A10" s="481" t="s">
        <v>1550</v>
      </c>
      <c r="B10" s="482">
        <v>611101789.21999991</v>
      </c>
      <c r="D10" s="243">
        <f>B10</f>
        <v>611101789.21999991</v>
      </c>
      <c r="E10" s="243">
        <f>B13</f>
        <v>-273304874.33999997</v>
      </c>
      <c r="F10" s="243">
        <f>D10+E10</f>
        <v>337796914.87999994</v>
      </c>
      <c r="G10" t="s">
        <v>551</v>
      </c>
    </row>
    <row r="11" spans="1:7">
      <c r="A11" s="481" t="s">
        <v>1551</v>
      </c>
      <c r="B11" s="482">
        <v>4458961.3499999996</v>
      </c>
      <c r="D11" s="349">
        <f>'RB-UNADJ-Plant'!E57</f>
        <v>608383234.98000002</v>
      </c>
      <c r="E11" s="349">
        <f>-'RB-UNADJ-Plant'!E113</f>
        <v>-273304874.33999997</v>
      </c>
      <c r="F11" s="349">
        <f>D11+E11</f>
        <v>335078360.64000005</v>
      </c>
      <c r="G11" t="s">
        <v>550</v>
      </c>
    </row>
    <row r="12" spans="1:7" ht="14.4">
      <c r="A12" s="906" t="s">
        <v>1552</v>
      </c>
      <c r="B12" s="918">
        <v>615560750.56999993</v>
      </c>
      <c r="D12" s="243">
        <f>D10-D11</f>
        <v>2718554.2399998903</v>
      </c>
      <c r="E12" s="243">
        <f>E10-E11</f>
        <v>0</v>
      </c>
      <c r="F12" s="243">
        <f>F10-F11</f>
        <v>2718554.2399998903</v>
      </c>
      <c r="G12" t="s">
        <v>632</v>
      </c>
    </row>
    <row r="13" spans="1:7" ht="19.5" customHeight="1">
      <c r="A13" s="906" t="s">
        <v>1553</v>
      </c>
      <c r="B13" s="918">
        <v>-273304874.33999997</v>
      </c>
      <c r="D13" s="243"/>
      <c r="E13" s="243"/>
    </row>
    <row r="14" spans="1:7" ht="14.4">
      <c r="A14" s="906" t="s">
        <v>1554</v>
      </c>
      <c r="B14" s="918">
        <v>342255876.23000002</v>
      </c>
      <c r="D14" s="348" t="s">
        <v>546</v>
      </c>
      <c r="E14" s="348" t="s">
        <v>547</v>
      </c>
      <c r="F14" s="348" t="s">
        <v>548</v>
      </c>
    </row>
    <row r="15" spans="1:7" ht="14.4">
      <c r="A15" s="481" t="s">
        <v>181</v>
      </c>
      <c r="B15" s="907">
        <v>0</v>
      </c>
      <c r="D15" s="243">
        <f>B10</f>
        <v>611101789.21999991</v>
      </c>
      <c r="E15" s="243">
        <f>B13</f>
        <v>-273304874.33999997</v>
      </c>
      <c r="F15" s="243">
        <f>B14-B11</f>
        <v>337796914.88</v>
      </c>
    </row>
    <row r="16" spans="1:7" ht="14.4">
      <c r="A16" s="906" t="s">
        <v>432</v>
      </c>
      <c r="B16" s="907">
        <v>0</v>
      </c>
      <c r="D16" s="349">
        <f>'Rate Base'!F56</f>
        <v>608383234.98000014</v>
      </c>
      <c r="E16" s="349">
        <f>-'Rate Base'!F109</f>
        <v>-273304874.34000003</v>
      </c>
      <c r="F16" s="349">
        <f>'Rate Base'!F116</f>
        <v>335078360.6400001</v>
      </c>
      <c r="G16" t="s">
        <v>1</v>
      </c>
    </row>
    <row r="17" spans="1:7">
      <c r="A17" s="481" t="s">
        <v>1555</v>
      </c>
      <c r="B17" s="482">
        <v>249.99999999999997</v>
      </c>
      <c r="D17" s="243">
        <f>D15-D16</f>
        <v>2718554.2399997711</v>
      </c>
      <c r="E17" s="243">
        <f>E15-E16</f>
        <v>0</v>
      </c>
      <c r="F17" s="243">
        <f>F15-F16</f>
        <v>2718554.2399998903</v>
      </c>
      <c r="G17" t="s">
        <v>549</v>
      </c>
    </row>
    <row r="18" spans="1:7">
      <c r="A18" s="481" t="s">
        <v>1556</v>
      </c>
      <c r="B18" s="482">
        <v>19980.000000000004</v>
      </c>
    </row>
    <row r="19" spans="1:7">
      <c r="A19" s="481" t="s">
        <v>1557</v>
      </c>
      <c r="B19" s="482">
        <v>471669.12000000005</v>
      </c>
      <c r="F19" s="243">
        <f>F12-F17</f>
        <v>0</v>
      </c>
    </row>
    <row r="20" spans="1:7" ht="14.4">
      <c r="A20" s="906" t="s">
        <v>433</v>
      </c>
      <c r="B20" s="918">
        <v>491899.12000000005</v>
      </c>
    </row>
    <row r="21" spans="1:7" ht="14.4">
      <c r="A21" s="481" t="s">
        <v>181</v>
      </c>
      <c r="B21" s="907">
        <v>0</v>
      </c>
    </row>
    <row r="22" spans="1:7" ht="14.4">
      <c r="A22" s="906" t="s">
        <v>434</v>
      </c>
      <c r="B22" s="907">
        <v>0</v>
      </c>
      <c r="F22" s="243"/>
    </row>
    <row r="23" spans="1:7">
      <c r="A23" s="481" t="s">
        <v>1558</v>
      </c>
      <c r="B23" s="482">
        <v>13452949.85</v>
      </c>
    </row>
    <row r="24" spans="1:7">
      <c r="A24" s="481" t="s">
        <v>1559</v>
      </c>
      <c r="B24" s="482">
        <v>21400</v>
      </c>
    </row>
    <row r="25" spans="1:7">
      <c r="A25" s="481" t="s">
        <v>1560</v>
      </c>
      <c r="B25" s="482">
        <v>257614.81</v>
      </c>
    </row>
    <row r="26" spans="1:7">
      <c r="A26" s="481" t="s">
        <v>1561</v>
      </c>
      <c r="B26" s="482">
        <v>5885269.75</v>
      </c>
    </row>
    <row r="27" spans="1:7">
      <c r="A27" s="481" t="s">
        <v>1562</v>
      </c>
      <c r="B27" s="482">
        <v>425459.50000000006</v>
      </c>
    </row>
    <row r="28" spans="1:7">
      <c r="A28" s="481" t="s">
        <v>1563</v>
      </c>
      <c r="B28" s="482">
        <v>-381115.21</v>
      </c>
    </row>
    <row r="29" spans="1:7">
      <c r="A29" s="481" t="s">
        <v>1564</v>
      </c>
      <c r="B29" s="482">
        <v>710777.24000000011</v>
      </c>
    </row>
    <row r="30" spans="1:7">
      <c r="A30" s="481" t="s">
        <v>1565</v>
      </c>
      <c r="B30" s="482">
        <v>2530222.56</v>
      </c>
      <c r="C30" s="323"/>
      <c r="E30" s="323"/>
    </row>
    <row r="31" spans="1:7">
      <c r="A31" s="481" t="s">
        <v>1566</v>
      </c>
      <c r="B31" s="482">
        <v>227368.22</v>
      </c>
      <c r="E31" s="323"/>
    </row>
    <row r="32" spans="1:7">
      <c r="A32" s="481" t="s">
        <v>1567</v>
      </c>
      <c r="B32" s="482">
        <v>188413.13</v>
      </c>
      <c r="E32" s="323"/>
    </row>
    <row r="33" spans="1:2">
      <c r="A33" s="481" t="s">
        <v>1568</v>
      </c>
      <c r="B33" s="482">
        <v>3692410.39</v>
      </c>
    </row>
    <row r="34" spans="1:2">
      <c r="A34" s="481" t="s">
        <v>1569</v>
      </c>
      <c r="B34" s="482">
        <v>257395.83000000002</v>
      </c>
    </row>
    <row r="35" spans="1:2">
      <c r="A35" s="481" t="s">
        <v>1570</v>
      </c>
      <c r="B35" s="482">
        <v>3493040.92</v>
      </c>
    </row>
    <row r="36" spans="1:2">
      <c r="A36" s="481" t="s">
        <v>435</v>
      </c>
      <c r="B36" s="482">
        <v>471669.12000000005</v>
      </c>
    </row>
    <row r="37" spans="1:2" ht="14.4">
      <c r="A37" s="906" t="s">
        <v>436</v>
      </c>
      <c r="B37" s="918">
        <v>30289537.870000001</v>
      </c>
    </row>
    <row r="38" spans="1:2" ht="14.4">
      <c r="A38" s="481" t="s">
        <v>181</v>
      </c>
      <c r="B38" s="907">
        <v>0</v>
      </c>
    </row>
    <row r="39" spans="1:2" ht="14.4">
      <c r="A39" s="906" t="s">
        <v>437</v>
      </c>
      <c r="B39" s="907">
        <v>0</v>
      </c>
    </row>
    <row r="40" spans="1:2">
      <c r="A40" s="481" t="s">
        <v>1571</v>
      </c>
      <c r="B40" s="482">
        <v>832658.39</v>
      </c>
    </row>
    <row r="41" spans="1:2">
      <c r="A41" s="481" t="s">
        <v>1572</v>
      </c>
      <c r="B41" s="482">
        <v>13692883.950000001</v>
      </c>
    </row>
    <row r="42" spans="1:2">
      <c r="A42" s="481" t="s">
        <v>1926</v>
      </c>
      <c r="B42" s="482">
        <v>38597.03</v>
      </c>
    </row>
    <row r="43" spans="1:2">
      <c r="A43" s="481" t="s">
        <v>1573</v>
      </c>
      <c r="B43" s="482">
        <v>-69204.710000000006</v>
      </c>
    </row>
    <row r="44" spans="1:2">
      <c r="A44" s="481" t="s">
        <v>1574</v>
      </c>
      <c r="B44" s="482">
        <v>158462.85</v>
      </c>
    </row>
    <row r="45" spans="1:2">
      <c r="A45" s="481" t="s">
        <v>1575</v>
      </c>
      <c r="B45" s="482">
        <v>21149.19</v>
      </c>
    </row>
    <row r="46" spans="1:2">
      <c r="A46" s="481" t="s">
        <v>1576</v>
      </c>
      <c r="B46" s="482">
        <v>13744137.569999998</v>
      </c>
    </row>
    <row r="47" spans="1:2" ht="14.4">
      <c r="A47" s="906" t="s">
        <v>1577</v>
      </c>
      <c r="B47" s="918">
        <v>28418684.27</v>
      </c>
    </row>
    <row r="48" spans="1:2" ht="15.75" customHeight="1">
      <c r="A48" s="481" t="s">
        <v>181</v>
      </c>
      <c r="B48" s="907">
        <v>0</v>
      </c>
    </row>
    <row r="49" spans="1:2" ht="14.4">
      <c r="A49" s="906" t="s">
        <v>1578</v>
      </c>
      <c r="B49" s="918">
        <v>401455997.49000001</v>
      </c>
    </row>
    <row r="50" spans="1:2" ht="14.4">
      <c r="A50" s="481" t="s">
        <v>181</v>
      </c>
      <c r="B50" s="907">
        <v>0</v>
      </c>
    </row>
    <row r="51" spans="1:2" ht="14.4">
      <c r="A51" s="906" t="s">
        <v>438</v>
      </c>
      <c r="B51" s="907">
        <v>0</v>
      </c>
    </row>
    <row r="52" spans="1:2">
      <c r="A52" s="481" t="s">
        <v>1579</v>
      </c>
      <c r="B52" s="482">
        <v>1</v>
      </c>
    </row>
    <row r="53" spans="1:2">
      <c r="A53" s="481" t="s">
        <v>1580</v>
      </c>
      <c r="B53" s="482">
        <v>67978214.989999995</v>
      </c>
    </row>
    <row r="54" spans="1:2">
      <c r="A54" s="481" t="s">
        <v>1581</v>
      </c>
      <c r="B54" s="482">
        <v>87130763.730000004</v>
      </c>
    </row>
    <row r="55" spans="1:2" ht="14.4">
      <c r="A55" s="906" t="s">
        <v>1582</v>
      </c>
      <c r="B55" s="918">
        <v>155108979.72</v>
      </c>
    </row>
    <row r="56" spans="1:2" ht="14.4">
      <c r="A56" s="481" t="s">
        <v>181</v>
      </c>
      <c r="B56" s="907">
        <v>0</v>
      </c>
    </row>
    <row r="57" spans="1:2" ht="14.4">
      <c r="A57" s="906" t="s">
        <v>439</v>
      </c>
      <c r="B57" s="907">
        <v>0</v>
      </c>
    </row>
    <row r="58" spans="1:2">
      <c r="A58" s="481" t="s">
        <v>1583</v>
      </c>
      <c r="B58" s="482">
        <v>124999999.99999999</v>
      </c>
    </row>
    <row r="59" spans="1:2" ht="14.4">
      <c r="A59" s="906" t="s">
        <v>1584</v>
      </c>
      <c r="B59" s="918">
        <v>124999999.99999999</v>
      </c>
    </row>
    <row r="60" spans="1:2" ht="14.4">
      <c r="A60" s="481" t="s">
        <v>181</v>
      </c>
      <c r="B60" s="907">
        <v>0</v>
      </c>
    </row>
    <row r="61" spans="1:2" ht="14.4">
      <c r="A61" s="906" t="s">
        <v>440</v>
      </c>
      <c r="B61" s="907">
        <v>0</v>
      </c>
    </row>
    <row r="62" spans="1:2">
      <c r="A62" s="481" t="s">
        <v>1585</v>
      </c>
      <c r="B62" s="482">
        <v>2048481.54</v>
      </c>
    </row>
    <row r="63" spans="1:2">
      <c r="A63" s="481" t="s">
        <v>1586</v>
      </c>
      <c r="B63" s="482">
        <v>309614</v>
      </c>
    </row>
    <row r="64" spans="1:2">
      <c r="A64" s="481" t="s">
        <v>1587</v>
      </c>
      <c r="B64" s="482">
        <v>1110221.83</v>
      </c>
    </row>
    <row r="65" spans="1:2">
      <c r="A65" s="481" t="s">
        <v>1588</v>
      </c>
      <c r="B65" s="482">
        <v>3664768.41</v>
      </c>
    </row>
    <row r="66" spans="1:2" ht="14.4">
      <c r="A66" s="906" t="s">
        <v>441</v>
      </c>
      <c r="B66" s="918">
        <v>7133085.7800000003</v>
      </c>
    </row>
    <row r="67" spans="1:2" ht="14.4">
      <c r="A67" s="481" t="s">
        <v>181</v>
      </c>
      <c r="B67" s="907">
        <v>0</v>
      </c>
    </row>
    <row r="68" spans="1:2" ht="14.4">
      <c r="A68" s="906" t="s">
        <v>442</v>
      </c>
      <c r="B68" s="907">
        <v>0</v>
      </c>
    </row>
    <row r="69" spans="1:2">
      <c r="A69" s="481" t="s">
        <v>1589</v>
      </c>
      <c r="B69" s="482">
        <v>0</v>
      </c>
    </row>
    <row r="70" spans="1:2">
      <c r="A70" s="481" t="s">
        <v>1590</v>
      </c>
      <c r="B70" s="482">
        <v>5846968.6699999999</v>
      </c>
    </row>
    <row r="71" spans="1:2">
      <c r="A71" s="481" t="s">
        <v>1591</v>
      </c>
      <c r="B71" s="482">
        <v>1827861.3</v>
      </c>
    </row>
    <row r="72" spans="1:2">
      <c r="A72" s="481" t="s">
        <v>1592</v>
      </c>
      <c r="B72" s="482">
        <v>1598822.74</v>
      </c>
    </row>
    <row r="73" spans="1:2">
      <c r="A73" s="481" t="s">
        <v>1593</v>
      </c>
      <c r="B73" s="482">
        <v>2996449.4699999997</v>
      </c>
    </row>
    <row r="74" spans="1:2">
      <c r="A74" s="481" t="s">
        <v>1594</v>
      </c>
      <c r="B74" s="482">
        <v>1844127.5899999999</v>
      </c>
    </row>
    <row r="75" spans="1:2">
      <c r="A75" s="481" t="s">
        <v>1595</v>
      </c>
      <c r="B75" s="482">
        <v>1094403.3999999999</v>
      </c>
    </row>
    <row r="76" spans="1:2">
      <c r="A76" s="481" t="s">
        <v>1596</v>
      </c>
      <c r="B76" s="482">
        <v>4529338.74</v>
      </c>
    </row>
    <row r="77" spans="1:2">
      <c r="A77" s="481" t="s">
        <v>1597</v>
      </c>
      <c r="B77" s="482">
        <v>407733.63</v>
      </c>
    </row>
    <row r="78" spans="1:2">
      <c r="A78" s="481" t="s">
        <v>1598</v>
      </c>
      <c r="B78" s="482">
        <v>10337801.4</v>
      </c>
    </row>
    <row r="79" spans="1:2">
      <c r="A79" s="481" t="s">
        <v>443</v>
      </c>
      <c r="B79" s="482">
        <v>3664768.41</v>
      </c>
    </row>
    <row r="80" spans="1:2" ht="15.75" customHeight="1">
      <c r="A80" s="906" t="s">
        <v>444</v>
      </c>
      <c r="B80" s="918">
        <v>26818738.529999997</v>
      </c>
    </row>
    <row r="81" spans="1:2" ht="14.4">
      <c r="A81" s="481" t="s">
        <v>181</v>
      </c>
      <c r="B81" s="907">
        <v>0</v>
      </c>
    </row>
    <row r="82" spans="1:2" ht="14.4">
      <c r="A82" s="906" t="s">
        <v>445</v>
      </c>
      <c r="B82" s="907">
        <v>0</v>
      </c>
    </row>
    <row r="83" spans="1:2">
      <c r="A83" s="481" t="s">
        <v>1599</v>
      </c>
      <c r="B83" s="482">
        <v>5445150</v>
      </c>
    </row>
    <row r="84" spans="1:2">
      <c r="A84" s="481" t="s">
        <v>1600</v>
      </c>
      <c r="B84" s="482">
        <v>31307634.470000003</v>
      </c>
    </row>
    <row r="85" spans="1:2">
      <c r="A85" s="481" t="s">
        <v>1601</v>
      </c>
      <c r="B85" s="482">
        <v>49396187.520000003</v>
      </c>
    </row>
    <row r="86" spans="1:2">
      <c r="A86" s="481" t="s">
        <v>1602</v>
      </c>
      <c r="B86" s="482">
        <v>1246221.47</v>
      </c>
    </row>
    <row r="87" spans="1:2" ht="14.4">
      <c r="A87" s="906" t="s">
        <v>1603</v>
      </c>
      <c r="B87" s="918">
        <v>87395193.460000008</v>
      </c>
    </row>
    <row r="88" spans="1:2" ht="14.4">
      <c r="A88" s="481" t="s">
        <v>181</v>
      </c>
      <c r="B88" s="907">
        <v>0</v>
      </c>
    </row>
    <row r="89" spans="1:2" ht="14.4">
      <c r="A89" s="906" t="s">
        <v>1604</v>
      </c>
      <c r="B89" s="918">
        <v>401455997.49000001</v>
      </c>
    </row>
  </sheetData>
  <mergeCells count="1">
    <mergeCell ref="A1:B1"/>
  </mergeCells>
  <pageMargins left="0.7" right="0.7" top="0.75" bottom="0.75" header="0.3" footer="0.3"/>
  <pageSetup orientation="portrait" horizontalDpi="200" verticalDpi="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>
    <tabColor theme="6" tint="0.39997558519241921"/>
    <pageSetUpPr fitToPage="1"/>
  </sheetPr>
  <dimension ref="A1:G74"/>
  <sheetViews>
    <sheetView zoomScale="90" zoomScaleNormal="90" workbookViewId="0">
      <selection sqref="A1:F1"/>
    </sheetView>
  </sheetViews>
  <sheetFormatPr defaultColWidth="9.109375" defaultRowHeight="13.2"/>
  <cols>
    <col min="1" max="1" width="8" style="251" customWidth="1"/>
    <col min="2" max="2" width="6.88671875" style="251" customWidth="1"/>
    <col min="3" max="3" width="23.88671875" style="251" bestFit="1" customWidth="1"/>
    <col min="4" max="4" width="14.44140625" style="251" bestFit="1" customWidth="1"/>
    <col min="5" max="5" width="29.5546875" style="251" customWidth="1"/>
    <col min="6" max="6" width="17.33203125" style="251" bestFit="1" customWidth="1"/>
    <col min="7" max="7" width="9.109375" style="251"/>
    <col min="8" max="8" width="13.88671875" style="251" bestFit="1" customWidth="1"/>
    <col min="9" max="16384" width="9.109375" style="251"/>
  </cols>
  <sheetData>
    <row r="1" spans="1:6" ht="13.8">
      <c r="A1" s="408" t="s">
        <v>491</v>
      </c>
      <c r="B1"/>
      <c r="C1"/>
      <c r="D1"/>
      <c r="E1"/>
      <c r="F1"/>
    </row>
    <row r="2" spans="1:6" ht="13.8">
      <c r="A2" s="408" t="s">
        <v>544</v>
      </c>
      <c r="B2"/>
      <c r="C2"/>
      <c r="D2"/>
      <c r="E2"/>
      <c r="F2"/>
    </row>
    <row r="3" spans="1:6">
      <c r="A3" s="932" t="s">
        <v>1739</v>
      </c>
      <c r="B3"/>
      <c r="C3"/>
      <c r="D3"/>
      <c r="E3"/>
      <c r="F3"/>
    </row>
    <row r="4" spans="1:6">
      <c r="A4"/>
      <c r="B4"/>
      <c r="C4"/>
      <c r="D4"/>
      <c r="E4"/>
      <c r="F4"/>
    </row>
    <row r="5" spans="1:6">
      <c r="A5" s="343"/>
      <c r="B5" s="344" t="s">
        <v>635</v>
      </c>
      <c r="C5"/>
      <c r="D5"/>
      <c r="E5"/>
      <c r="F5"/>
    </row>
    <row r="6" spans="1:6">
      <c r="A6" s="410" t="s">
        <v>368</v>
      </c>
      <c r="B6" s="344" t="s">
        <v>636</v>
      </c>
      <c r="C6"/>
      <c r="D6"/>
      <c r="E6"/>
      <c r="F6"/>
    </row>
    <row r="7" spans="1:6">
      <c r="A7" s="410" t="s">
        <v>368</v>
      </c>
      <c r="B7" s="344" t="s">
        <v>637</v>
      </c>
      <c r="C7"/>
      <c r="D7"/>
      <c r="E7"/>
      <c r="F7"/>
    </row>
    <row r="8" spans="1:6">
      <c r="A8" s="410" t="s">
        <v>368</v>
      </c>
      <c r="B8" s="344" t="s">
        <v>638</v>
      </c>
      <c r="C8"/>
      <c r="D8"/>
      <c r="E8"/>
      <c r="F8"/>
    </row>
    <row r="9" spans="1:6">
      <c r="A9" s="410" t="s">
        <v>368</v>
      </c>
      <c r="B9" s="344" t="s">
        <v>1738</v>
      </c>
      <c r="C9"/>
      <c r="D9"/>
      <c r="E9"/>
      <c r="F9"/>
    </row>
    <row r="10" spans="1:6">
      <c r="A10" s="343" t="s">
        <v>367</v>
      </c>
      <c r="B10"/>
      <c r="C10"/>
      <c r="D10"/>
      <c r="E10"/>
      <c r="F10"/>
    </row>
    <row r="11" spans="1:6">
      <c r="A11" s="411" t="s">
        <v>492</v>
      </c>
      <c r="B11" s="933" t="s">
        <v>1736</v>
      </c>
      <c r="C11" s="405"/>
      <c r="D11"/>
      <c r="E11"/>
      <c r="F11"/>
    </row>
    <row r="12" spans="1:6">
      <c r="A12" s="412" t="s">
        <v>500</v>
      </c>
      <c r="B12" s="412" t="s">
        <v>493</v>
      </c>
      <c r="C12" s="412" t="s">
        <v>494</v>
      </c>
      <c r="D12" s="412" t="s">
        <v>495</v>
      </c>
      <c r="E12" s="412" t="s">
        <v>496</v>
      </c>
      <c r="F12" s="417" t="s">
        <v>497</v>
      </c>
    </row>
    <row r="13" spans="1:6">
      <c r="A13" s="981" t="s">
        <v>640</v>
      </c>
      <c r="B13" s="981" t="s">
        <v>503</v>
      </c>
      <c r="C13" s="981" t="s">
        <v>504</v>
      </c>
      <c r="D13" s="981" t="s">
        <v>505</v>
      </c>
      <c r="E13" s="981" t="s">
        <v>506</v>
      </c>
      <c r="F13" s="982">
        <v>3467449.5</v>
      </c>
    </row>
    <row r="14" spans="1:6">
      <c r="A14" s="415" t="s">
        <v>43</v>
      </c>
      <c r="B14" s="416"/>
      <c r="C14" s="416"/>
      <c r="D14" s="416"/>
      <c r="E14" s="416"/>
      <c r="F14" s="943">
        <f>+F13</f>
        <v>3467449.5</v>
      </c>
    </row>
    <row r="15" spans="1:6">
      <c r="A15" s="334" t="s">
        <v>367</v>
      </c>
    </row>
    <row r="16" spans="1:6" ht="12.75" customHeight="1">
      <c r="A16" s="936" t="s">
        <v>491</v>
      </c>
      <c r="B16"/>
      <c r="C16"/>
      <c r="D16"/>
      <c r="E16"/>
      <c r="F16"/>
    </row>
    <row r="17" spans="1:6" ht="12.75" customHeight="1">
      <c r="A17" s="936" t="s">
        <v>544</v>
      </c>
      <c r="B17"/>
      <c r="C17"/>
      <c r="D17"/>
      <c r="E17"/>
      <c r="F17"/>
    </row>
    <row r="18" spans="1:6" ht="12.75" customHeight="1">
      <c r="A18" s="932" t="s">
        <v>1751</v>
      </c>
      <c r="B18"/>
      <c r="C18"/>
      <c r="D18"/>
      <c r="E18"/>
      <c r="F18"/>
    </row>
    <row r="19" spans="1:6" ht="12.75" customHeight="1">
      <c r="A19"/>
      <c r="B19"/>
      <c r="C19"/>
      <c r="D19"/>
      <c r="E19"/>
      <c r="F19"/>
    </row>
    <row r="20" spans="1:6" ht="12.75" customHeight="1">
      <c r="A20" s="343"/>
      <c r="B20" s="344" t="s">
        <v>1754</v>
      </c>
      <c r="C20"/>
      <c r="D20"/>
      <c r="E20"/>
      <c r="F20"/>
    </row>
    <row r="21" spans="1:6" ht="12.75" customHeight="1">
      <c r="A21" s="937" t="s">
        <v>368</v>
      </c>
      <c r="B21" s="344" t="s">
        <v>1755</v>
      </c>
      <c r="C21"/>
      <c r="D21"/>
      <c r="E21"/>
      <c r="F21"/>
    </row>
    <row r="22" spans="1:6" ht="12.75" customHeight="1">
      <c r="A22" s="937" t="s">
        <v>368</v>
      </c>
      <c r="B22" s="344" t="s">
        <v>1756</v>
      </c>
      <c r="C22"/>
      <c r="D22"/>
      <c r="E22"/>
      <c r="F22"/>
    </row>
    <row r="23" spans="1:6" ht="12.75" customHeight="1">
      <c r="A23" s="937" t="s">
        <v>368</v>
      </c>
      <c r="B23" s="344" t="s">
        <v>1738</v>
      </c>
      <c r="C23"/>
      <c r="D23"/>
      <c r="E23"/>
      <c r="F23"/>
    </row>
    <row r="24" spans="1:6" ht="12.75" customHeight="1">
      <c r="A24" s="937" t="s">
        <v>368</v>
      </c>
      <c r="B24" s="344" t="s">
        <v>1757</v>
      </c>
      <c r="C24"/>
      <c r="D24"/>
      <c r="E24"/>
      <c r="F24"/>
    </row>
    <row r="25" spans="1:6" ht="12.75" customHeight="1">
      <c r="A25" s="343" t="s">
        <v>367</v>
      </c>
      <c r="B25"/>
      <c r="C25"/>
      <c r="D25"/>
      <c r="E25"/>
      <c r="F25"/>
    </row>
    <row r="26" spans="1:6" ht="12.75" customHeight="1">
      <c r="A26" s="938" t="s">
        <v>492</v>
      </c>
      <c r="B26" s="939" t="s">
        <v>1736</v>
      </c>
      <c r="C26"/>
      <c r="D26"/>
      <c r="E26"/>
      <c r="F26"/>
    </row>
    <row r="27" spans="1:6" ht="12.75" customHeight="1">
      <c r="A27" s="940" t="s">
        <v>500</v>
      </c>
      <c r="B27" s="940" t="s">
        <v>493</v>
      </c>
      <c r="C27" s="940" t="s">
        <v>494</v>
      </c>
      <c r="D27" s="940" t="s">
        <v>495</v>
      </c>
      <c r="E27" s="940" t="s">
        <v>496</v>
      </c>
      <c r="F27" s="942" t="s">
        <v>497</v>
      </c>
    </row>
    <row r="28" spans="1:6" ht="12.75" customHeight="1">
      <c r="A28" s="983" t="s">
        <v>640</v>
      </c>
      <c r="B28" s="983" t="s">
        <v>1752</v>
      </c>
      <c r="C28" s="983" t="s">
        <v>1753</v>
      </c>
      <c r="D28" s="983" t="s">
        <v>505</v>
      </c>
      <c r="E28" s="983" t="s">
        <v>506</v>
      </c>
      <c r="F28" s="984">
        <v>-438642.55999999901</v>
      </c>
    </row>
    <row r="29" spans="1:6" ht="12.75" customHeight="1">
      <c r="A29" s="941" t="s">
        <v>43</v>
      </c>
      <c r="B29" s="416"/>
      <c r="C29" s="416"/>
      <c r="D29" s="416"/>
      <c r="E29" s="416"/>
      <c r="F29" s="943">
        <f>+F28</f>
        <v>-438642.55999999901</v>
      </c>
    </row>
    <row r="30" spans="1:6" ht="12.75" customHeight="1">
      <c r="A30" s="342"/>
      <c r="B30" s="342"/>
      <c r="C30" s="342"/>
      <c r="D30" s="342"/>
      <c r="F30" s="342"/>
    </row>
    <row r="31" spans="1:6" ht="12.75" customHeight="1">
      <c r="A31" s="408" t="s">
        <v>491</v>
      </c>
      <c r="B31"/>
      <c r="C31"/>
      <c r="D31"/>
      <c r="E31"/>
      <c r="F31"/>
    </row>
    <row r="32" spans="1:6" ht="12.75" customHeight="1">
      <c r="A32" s="408" t="s">
        <v>544</v>
      </c>
      <c r="B32"/>
      <c r="C32"/>
      <c r="D32"/>
      <c r="E32"/>
      <c r="F32"/>
    </row>
    <row r="33" spans="1:6" ht="12.75" customHeight="1">
      <c r="A33" s="409" t="s">
        <v>1740</v>
      </c>
      <c r="B33"/>
      <c r="C33"/>
      <c r="D33"/>
      <c r="E33"/>
      <c r="F33"/>
    </row>
    <row r="34" spans="1:6" ht="12.75" customHeight="1">
      <c r="A34"/>
      <c r="B34"/>
      <c r="C34"/>
      <c r="D34"/>
      <c r="E34"/>
      <c r="F34"/>
    </row>
    <row r="35" spans="1:6" ht="12.75" customHeight="1">
      <c r="A35" s="343"/>
      <c r="B35" s="344" t="s">
        <v>635</v>
      </c>
      <c r="C35"/>
      <c r="D35"/>
      <c r="E35"/>
      <c r="F35"/>
    </row>
    <row r="36" spans="1:6" ht="12.75" customHeight="1">
      <c r="A36" s="410" t="s">
        <v>368</v>
      </c>
      <c r="B36" s="344" t="s">
        <v>646</v>
      </c>
      <c r="C36"/>
      <c r="D36"/>
      <c r="E36"/>
      <c r="F36"/>
    </row>
    <row r="37" spans="1:6" ht="12.75" customHeight="1">
      <c r="A37" s="410" t="s">
        <v>368</v>
      </c>
      <c r="B37" s="344" t="s">
        <v>637</v>
      </c>
      <c r="C37"/>
      <c r="D37"/>
      <c r="E37"/>
      <c r="F37"/>
    </row>
    <row r="38" spans="1:6" ht="12.75" customHeight="1">
      <c r="A38" s="410" t="s">
        <v>368</v>
      </c>
      <c r="B38" s="344" t="s">
        <v>1738</v>
      </c>
      <c r="C38"/>
      <c r="D38"/>
      <c r="E38"/>
      <c r="F38"/>
    </row>
    <row r="39" spans="1:6" ht="12.75" customHeight="1">
      <c r="A39" s="410" t="s">
        <v>368</v>
      </c>
      <c r="B39" s="344" t="s">
        <v>638</v>
      </c>
      <c r="C39"/>
      <c r="D39"/>
      <c r="E39"/>
      <c r="F39"/>
    </row>
    <row r="40" spans="1:6" ht="12.75" customHeight="1">
      <c r="A40" s="343" t="s">
        <v>367</v>
      </c>
      <c r="B40"/>
      <c r="C40"/>
      <c r="D40"/>
      <c r="E40"/>
      <c r="F40"/>
    </row>
    <row r="41" spans="1:6" ht="12.75" customHeight="1">
      <c r="A41" s="411" t="s">
        <v>492</v>
      </c>
      <c r="B41" s="933" t="s">
        <v>1736</v>
      </c>
      <c r="C41"/>
      <c r="D41"/>
      <c r="E41"/>
      <c r="F41"/>
    </row>
    <row r="42" spans="1:6" ht="12.75" customHeight="1">
      <c r="A42" s="412" t="s">
        <v>500</v>
      </c>
      <c r="B42" s="412" t="s">
        <v>493</v>
      </c>
      <c r="C42" s="412" t="s">
        <v>494</v>
      </c>
      <c r="D42" s="412" t="s">
        <v>495</v>
      </c>
      <c r="E42" s="412" t="s">
        <v>496</v>
      </c>
      <c r="F42" s="413" t="s">
        <v>497</v>
      </c>
    </row>
    <row r="43" spans="1:6" ht="12.75" customHeight="1">
      <c r="A43" s="414" t="s">
        <v>640</v>
      </c>
      <c r="B43" s="414" t="s">
        <v>644</v>
      </c>
      <c r="C43" s="414" t="s">
        <v>645</v>
      </c>
      <c r="D43" s="414" t="s">
        <v>641</v>
      </c>
      <c r="E43" s="414" t="s">
        <v>642</v>
      </c>
      <c r="F43" s="418">
        <v>1094518.56</v>
      </c>
    </row>
    <row r="44" spans="1:6" ht="12.75" customHeight="1">
      <c r="A44" s="415" t="s">
        <v>43</v>
      </c>
      <c r="B44" s="416"/>
      <c r="C44" s="416"/>
      <c r="D44" s="416"/>
      <c r="E44" s="416"/>
      <c r="F44" s="419">
        <v>1094518.56</v>
      </c>
    </row>
    <row r="46" spans="1:6" ht="13.8">
      <c r="A46" s="408" t="s">
        <v>491</v>
      </c>
      <c r="B46"/>
      <c r="C46"/>
      <c r="D46"/>
      <c r="E46"/>
      <c r="F46"/>
    </row>
    <row r="47" spans="1:6" ht="13.8">
      <c r="A47" s="408" t="s">
        <v>544</v>
      </c>
      <c r="B47"/>
      <c r="C47"/>
      <c r="D47"/>
      <c r="E47"/>
      <c r="F47"/>
    </row>
    <row r="48" spans="1:6">
      <c r="A48" s="409" t="s">
        <v>1741</v>
      </c>
      <c r="B48"/>
      <c r="C48"/>
      <c r="D48"/>
      <c r="E48"/>
      <c r="F48"/>
    </row>
    <row r="49" spans="1:7">
      <c r="A49"/>
      <c r="B49"/>
      <c r="C49"/>
      <c r="D49"/>
      <c r="E49"/>
      <c r="F49"/>
    </row>
    <row r="50" spans="1:7">
      <c r="A50" s="343"/>
      <c r="B50" s="344" t="s">
        <v>635</v>
      </c>
      <c r="C50"/>
      <c r="D50"/>
      <c r="E50" s="323" t="s">
        <v>181</v>
      </c>
      <c r="F50"/>
    </row>
    <row r="51" spans="1:7">
      <c r="A51" s="410" t="s">
        <v>368</v>
      </c>
      <c r="B51" s="344" t="s">
        <v>643</v>
      </c>
      <c r="C51"/>
      <c r="D51"/>
      <c r="E51"/>
      <c r="F51"/>
    </row>
    <row r="52" spans="1:7">
      <c r="A52" s="410" t="s">
        <v>368</v>
      </c>
      <c r="B52" s="344" t="s">
        <v>637</v>
      </c>
      <c r="C52"/>
      <c r="D52"/>
      <c r="E52"/>
      <c r="F52"/>
    </row>
    <row r="53" spans="1:7">
      <c r="A53" s="410" t="s">
        <v>368</v>
      </c>
      <c r="B53" s="344" t="s">
        <v>638</v>
      </c>
      <c r="C53"/>
      <c r="D53"/>
      <c r="E53"/>
      <c r="F53"/>
    </row>
    <row r="54" spans="1:7">
      <c r="A54" s="410" t="s">
        <v>368</v>
      </c>
      <c r="B54" s="344" t="s">
        <v>1738</v>
      </c>
      <c r="C54"/>
      <c r="D54"/>
      <c r="E54"/>
      <c r="F54"/>
    </row>
    <row r="55" spans="1:7">
      <c r="A55" s="343" t="s">
        <v>367</v>
      </c>
      <c r="B55"/>
      <c r="C55"/>
      <c r="D55"/>
      <c r="E55"/>
      <c r="F55"/>
    </row>
    <row r="56" spans="1:7">
      <c r="A56" s="411" t="s">
        <v>492</v>
      </c>
      <c r="B56" s="933" t="s">
        <v>1736</v>
      </c>
      <c r="C56"/>
      <c r="D56"/>
      <c r="E56"/>
      <c r="F56"/>
    </row>
    <row r="57" spans="1:7">
      <c r="A57" s="412" t="s">
        <v>500</v>
      </c>
      <c r="B57" s="412" t="s">
        <v>493</v>
      </c>
      <c r="C57" s="412" t="s">
        <v>494</v>
      </c>
      <c r="D57" s="412" t="s">
        <v>495</v>
      </c>
      <c r="E57" s="412" t="s">
        <v>496</v>
      </c>
      <c r="F57" s="413" t="s">
        <v>497</v>
      </c>
    </row>
    <row r="58" spans="1:7">
      <c r="A58" s="414" t="s">
        <v>640</v>
      </c>
      <c r="B58" s="414" t="s">
        <v>545</v>
      </c>
      <c r="C58" s="414" t="s">
        <v>504</v>
      </c>
      <c r="D58" s="414" t="s">
        <v>501</v>
      </c>
      <c r="E58" s="414" t="s">
        <v>502</v>
      </c>
      <c r="F58" s="418">
        <v>-24912739.370000001</v>
      </c>
    </row>
    <row r="59" spans="1:7">
      <c r="A59" s="415" t="s">
        <v>43</v>
      </c>
      <c r="B59" s="416"/>
      <c r="C59" s="416"/>
      <c r="D59" s="416"/>
      <c r="E59" s="416"/>
      <c r="F59" s="419">
        <v>-24912739.370000001</v>
      </c>
    </row>
    <row r="60" spans="1:7">
      <c r="A60" s="343" t="s">
        <v>367</v>
      </c>
      <c r="B60"/>
      <c r="C60"/>
      <c r="D60"/>
      <c r="E60"/>
      <c r="F60"/>
    </row>
    <row r="62" spans="1:7">
      <c r="B62" s="251" t="s">
        <v>1839</v>
      </c>
      <c r="F62" s="985">
        <f>+F14</f>
        <v>3467449.5</v>
      </c>
    </row>
    <row r="63" spans="1:7" ht="13.8" thickBot="1">
      <c r="B63" s="251" t="s">
        <v>1838</v>
      </c>
      <c r="F63" s="985">
        <f>+F29</f>
        <v>-438642.55999999901</v>
      </c>
    </row>
    <row r="64" spans="1:7" ht="13.8" thickBot="1">
      <c r="B64" s="251" t="s">
        <v>1837</v>
      </c>
      <c r="F64" s="346"/>
      <c r="G64" s="1126" t="s">
        <v>1934</v>
      </c>
    </row>
    <row r="65" spans="2:6">
      <c r="F65" s="985"/>
    </row>
    <row r="66" spans="2:6" ht="13.8" thickBot="1">
      <c r="B66" s="251" t="s">
        <v>1840</v>
      </c>
      <c r="F66" s="345">
        <f>F44</f>
        <v>1094518.56</v>
      </c>
    </row>
    <row r="67" spans="2:6" ht="13.8" thickBot="1">
      <c r="B67" s="251" t="s">
        <v>507</v>
      </c>
      <c r="F67" s="346">
        <f>F66</f>
        <v>1094518.56</v>
      </c>
    </row>
    <row r="68" spans="2:6">
      <c r="F68" s="345"/>
    </row>
    <row r="69" spans="2:6" ht="13.8" thickBot="1">
      <c r="B69" s="251" t="s">
        <v>647</v>
      </c>
      <c r="F69" s="347">
        <f>F59</f>
        <v>-24912739.370000001</v>
      </c>
    </row>
    <row r="70" spans="2:6" ht="13.8" thickBot="1">
      <c r="B70" s="251" t="s">
        <v>508</v>
      </c>
      <c r="F70" s="346">
        <f>SUM(F69)</f>
        <v>-24912739.370000001</v>
      </c>
    </row>
    <row r="72" spans="2:6">
      <c r="F72" s="345"/>
    </row>
    <row r="73" spans="2:6" ht="13.8" thickBot="1">
      <c r="F73" s="347"/>
    </row>
    <row r="74" spans="2:6" ht="13.8" thickBot="1">
      <c r="B74" s="251" t="s">
        <v>1836</v>
      </c>
      <c r="F74" s="346">
        <f>+F64+F67+F70</f>
        <v>-23818220.810000002</v>
      </c>
    </row>
  </sheetData>
  <pageMargins left="0.7" right="0.7" top="0.75" bottom="0.75" header="0.3" footer="0.3"/>
  <pageSetup scale="1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>
    <tabColor indexed="10"/>
  </sheetPr>
  <dimension ref="A1:G31"/>
  <sheetViews>
    <sheetView tabSelected="1" zoomScaleNormal="100" workbookViewId="0">
      <selection activeCell="A4" sqref="A4"/>
    </sheetView>
  </sheetViews>
  <sheetFormatPr defaultRowHeight="13.2"/>
  <cols>
    <col min="1" max="1" width="30.109375" style="7" customWidth="1"/>
    <col min="2" max="2" width="3.5546875" style="164" customWidth="1"/>
    <col min="3" max="3" width="14.5546875" style="165" customWidth="1"/>
    <col min="4" max="4" width="10.5546875" style="165" customWidth="1"/>
    <col min="5" max="5" width="10.5546875" style="166" customWidth="1"/>
    <col min="6" max="6" width="14.5546875" style="167" customWidth="1"/>
    <col min="7" max="256" width="9.109375" style="7"/>
    <col min="257" max="257" width="30.109375" style="7" customWidth="1"/>
    <col min="258" max="258" width="3.5546875" style="7" customWidth="1"/>
    <col min="259" max="259" width="14.5546875" style="7" customWidth="1"/>
    <col min="260" max="261" width="10.5546875" style="7" customWidth="1"/>
    <col min="262" max="262" width="14.5546875" style="7" customWidth="1"/>
    <col min="263" max="512" width="9.109375" style="7"/>
    <col min="513" max="513" width="30.109375" style="7" customWidth="1"/>
    <col min="514" max="514" width="3.5546875" style="7" customWidth="1"/>
    <col min="515" max="515" width="14.5546875" style="7" customWidth="1"/>
    <col min="516" max="517" width="10.5546875" style="7" customWidth="1"/>
    <col min="518" max="518" width="14.5546875" style="7" customWidth="1"/>
    <col min="519" max="768" width="9.109375" style="7"/>
    <col min="769" max="769" width="30.109375" style="7" customWidth="1"/>
    <col min="770" max="770" width="3.5546875" style="7" customWidth="1"/>
    <col min="771" max="771" width="14.5546875" style="7" customWidth="1"/>
    <col min="772" max="773" width="10.5546875" style="7" customWidth="1"/>
    <col min="774" max="774" width="14.5546875" style="7" customWidth="1"/>
    <col min="775" max="1024" width="9.109375" style="7"/>
    <col min="1025" max="1025" width="30.109375" style="7" customWidth="1"/>
    <col min="1026" max="1026" width="3.5546875" style="7" customWidth="1"/>
    <col min="1027" max="1027" width="14.5546875" style="7" customWidth="1"/>
    <col min="1028" max="1029" width="10.5546875" style="7" customWidth="1"/>
    <col min="1030" max="1030" width="14.5546875" style="7" customWidth="1"/>
    <col min="1031" max="1280" width="9.109375" style="7"/>
    <col min="1281" max="1281" width="30.109375" style="7" customWidth="1"/>
    <col min="1282" max="1282" width="3.5546875" style="7" customWidth="1"/>
    <col min="1283" max="1283" width="14.5546875" style="7" customWidth="1"/>
    <col min="1284" max="1285" width="10.5546875" style="7" customWidth="1"/>
    <col min="1286" max="1286" width="14.5546875" style="7" customWidth="1"/>
    <col min="1287" max="1536" width="9.109375" style="7"/>
    <col min="1537" max="1537" width="30.109375" style="7" customWidth="1"/>
    <col min="1538" max="1538" width="3.5546875" style="7" customWidth="1"/>
    <col min="1539" max="1539" width="14.5546875" style="7" customWidth="1"/>
    <col min="1540" max="1541" width="10.5546875" style="7" customWidth="1"/>
    <col min="1542" max="1542" width="14.5546875" style="7" customWidth="1"/>
    <col min="1543" max="1792" width="9.109375" style="7"/>
    <col min="1793" max="1793" width="30.109375" style="7" customWidth="1"/>
    <col min="1794" max="1794" width="3.5546875" style="7" customWidth="1"/>
    <col min="1795" max="1795" width="14.5546875" style="7" customWidth="1"/>
    <col min="1796" max="1797" width="10.5546875" style="7" customWidth="1"/>
    <col min="1798" max="1798" width="14.5546875" style="7" customWidth="1"/>
    <col min="1799" max="2048" width="9.109375" style="7"/>
    <col min="2049" max="2049" width="30.109375" style="7" customWidth="1"/>
    <col min="2050" max="2050" width="3.5546875" style="7" customWidth="1"/>
    <col min="2051" max="2051" width="14.5546875" style="7" customWidth="1"/>
    <col min="2052" max="2053" width="10.5546875" style="7" customWidth="1"/>
    <col min="2054" max="2054" width="14.5546875" style="7" customWidth="1"/>
    <col min="2055" max="2304" width="9.109375" style="7"/>
    <col min="2305" max="2305" width="30.109375" style="7" customWidth="1"/>
    <col min="2306" max="2306" width="3.5546875" style="7" customWidth="1"/>
    <col min="2307" max="2307" width="14.5546875" style="7" customWidth="1"/>
    <col min="2308" max="2309" width="10.5546875" style="7" customWidth="1"/>
    <col min="2310" max="2310" width="14.5546875" style="7" customWidth="1"/>
    <col min="2311" max="2560" width="9.109375" style="7"/>
    <col min="2561" max="2561" width="30.109375" style="7" customWidth="1"/>
    <col min="2562" max="2562" width="3.5546875" style="7" customWidth="1"/>
    <col min="2563" max="2563" width="14.5546875" style="7" customWidth="1"/>
    <col min="2564" max="2565" width="10.5546875" style="7" customWidth="1"/>
    <col min="2566" max="2566" width="14.5546875" style="7" customWidth="1"/>
    <col min="2567" max="2816" width="9.109375" style="7"/>
    <col min="2817" max="2817" width="30.109375" style="7" customWidth="1"/>
    <col min="2818" max="2818" width="3.5546875" style="7" customWidth="1"/>
    <col min="2819" max="2819" width="14.5546875" style="7" customWidth="1"/>
    <col min="2820" max="2821" width="10.5546875" style="7" customWidth="1"/>
    <col min="2822" max="2822" width="14.5546875" style="7" customWidth="1"/>
    <col min="2823" max="3072" width="9.109375" style="7"/>
    <col min="3073" max="3073" width="30.109375" style="7" customWidth="1"/>
    <col min="3074" max="3074" width="3.5546875" style="7" customWidth="1"/>
    <col min="3075" max="3075" width="14.5546875" style="7" customWidth="1"/>
    <col min="3076" max="3077" width="10.5546875" style="7" customWidth="1"/>
    <col min="3078" max="3078" width="14.5546875" style="7" customWidth="1"/>
    <col min="3079" max="3328" width="9.109375" style="7"/>
    <col min="3329" max="3329" width="30.109375" style="7" customWidth="1"/>
    <col min="3330" max="3330" width="3.5546875" style="7" customWidth="1"/>
    <col min="3331" max="3331" width="14.5546875" style="7" customWidth="1"/>
    <col min="3332" max="3333" width="10.5546875" style="7" customWidth="1"/>
    <col min="3334" max="3334" width="14.5546875" style="7" customWidth="1"/>
    <col min="3335" max="3584" width="9.109375" style="7"/>
    <col min="3585" max="3585" width="30.109375" style="7" customWidth="1"/>
    <col min="3586" max="3586" width="3.5546875" style="7" customWidth="1"/>
    <col min="3587" max="3587" width="14.5546875" style="7" customWidth="1"/>
    <col min="3588" max="3589" width="10.5546875" style="7" customWidth="1"/>
    <col min="3590" max="3590" width="14.5546875" style="7" customWidth="1"/>
    <col min="3591" max="3840" width="9.109375" style="7"/>
    <col min="3841" max="3841" width="30.109375" style="7" customWidth="1"/>
    <col min="3842" max="3842" width="3.5546875" style="7" customWidth="1"/>
    <col min="3843" max="3843" width="14.5546875" style="7" customWidth="1"/>
    <col min="3844" max="3845" width="10.5546875" style="7" customWidth="1"/>
    <col min="3846" max="3846" width="14.5546875" style="7" customWidth="1"/>
    <col min="3847" max="4096" width="9.109375" style="7"/>
    <col min="4097" max="4097" width="30.109375" style="7" customWidth="1"/>
    <col min="4098" max="4098" width="3.5546875" style="7" customWidth="1"/>
    <col min="4099" max="4099" width="14.5546875" style="7" customWidth="1"/>
    <col min="4100" max="4101" width="10.5546875" style="7" customWidth="1"/>
    <col min="4102" max="4102" width="14.5546875" style="7" customWidth="1"/>
    <col min="4103" max="4352" width="9.109375" style="7"/>
    <col min="4353" max="4353" width="30.109375" style="7" customWidth="1"/>
    <col min="4354" max="4354" width="3.5546875" style="7" customWidth="1"/>
    <col min="4355" max="4355" width="14.5546875" style="7" customWidth="1"/>
    <col min="4356" max="4357" width="10.5546875" style="7" customWidth="1"/>
    <col min="4358" max="4358" width="14.5546875" style="7" customWidth="1"/>
    <col min="4359" max="4608" width="9.109375" style="7"/>
    <col min="4609" max="4609" width="30.109375" style="7" customWidth="1"/>
    <col min="4610" max="4610" width="3.5546875" style="7" customWidth="1"/>
    <col min="4611" max="4611" width="14.5546875" style="7" customWidth="1"/>
    <col min="4612" max="4613" width="10.5546875" style="7" customWidth="1"/>
    <col min="4614" max="4614" width="14.5546875" style="7" customWidth="1"/>
    <col min="4615" max="4864" width="9.109375" style="7"/>
    <col min="4865" max="4865" width="30.109375" style="7" customWidth="1"/>
    <col min="4866" max="4866" width="3.5546875" style="7" customWidth="1"/>
    <col min="4867" max="4867" width="14.5546875" style="7" customWidth="1"/>
    <col min="4868" max="4869" width="10.5546875" style="7" customWidth="1"/>
    <col min="4870" max="4870" width="14.5546875" style="7" customWidth="1"/>
    <col min="4871" max="5120" width="9.109375" style="7"/>
    <col min="5121" max="5121" width="30.109375" style="7" customWidth="1"/>
    <col min="5122" max="5122" width="3.5546875" style="7" customWidth="1"/>
    <col min="5123" max="5123" width="14.5546875" style="7" customWidth="1"/>
    <col min="5124" max="5125" width="10.5546875" style="7" customWidth="1"/>
    <col min="5126" max="5126" width="14.5546875" style="7" customWidth="1"/>
    <col min="5127" max="5376" width="9.109375" style="7"/>
    <col min="5377" max="5377" width="30.109375" style="7" customWidth="1"/>
    <col min="5378" max="5378" width="3.5546875" style="7" customWidth="1"/>
    <col min="5379" max="5379" width="14.5546875" style="7" customWidth="1"/>
    <col min="5380" max="5381" width="10.5546875" style="7" customWidth="1"/>
    <col min="5382" max="5382" width="14.5546875" style="7" customWidth="1"/>
    <col min="5383" max="5632" width="9.109375" style="7"/>
    <col min="5633" max="5633" width="30.109375" style="7" customWidth="1"/>
    <col min="5634" max="5634" width="3.5546875" style="7" customWidth="1"/>
    <col min="5635" max="5635" width="14.5546875" style="7" customWidth="1"/>
    <col min="5636" max="5637" width="10.5546875" style="7" customWidth="1"/>
    <col min="5638" max="5638" width="14.5546875" style="7" customWidth="1"/>
    <col min="5639" max="5888" width="9.109375" style="7"/>
    <col min="5889" max="5889" width="30.109375" style="7" customWidth="1"/>
    <col min="5890" max="5890" width="3.5546875" style="7" customWidth="1"/>
    <col min="5891" max="5891" width="14.5546875" style="7" customWidth="1"/>
    <col min="5892" max="5893" width="10.5546875" style="7" customWidth="1"/>
    <col min="5894" max="5894" width="14.5546875" style="7" customWidth="1"/>
    <col min="5895" max="6144" width="9.109375" style="7"/>
    <col min="6145" max="6145" width="30.109375" style="7" customWidth="1"/>
    <col min="6146" max="6146" width="3.5546875" style="7" customWidth="1"/>
    <col min="6147" max="6147" width="14.5546875" style="7" customWidth="1"/>
    <col min="6148" max="6149" width="10.5546875" style="7" customWidth="1"/>
    <col min="6150" max="6150" width="14.5546875" style="7" customWidth="1"/>
    <col min="6151" max="6400" width="9.109375" style="7"/>
    <col min="6401" max="6401" width="30.109375" style="7" customWidth="1"/>
    <col min="6402" max="6402" width="3.5546875" style="7" customWidth="1"/>
    <col min="6403" max="6403" width="14.5546875" style="7" customWidth="1"/>
    <col min="6404" max="6405" width="10.5546875" style="7" customWidth="1"/>
    <col min="6406" max="6406" width="14.5546875" style="7" customWidth="1"/>
    <col min="6407" max="6656" width="9.109375" style="7"/>
    <col min="6657" max="6657" width="30.109375" style="7" customWidth="1"/>
    <col min="6658" max="6658" width="3.5546875" style="7" customWidth="1"/>
    <col min="6659" max="6659" width="14.5546875" style="7" customWidth="1"/>
    <col min="6660" max="6661" width="10.5546875" style="7" customWidth="1"/>
    <col min="6662" max="6662" width="14.5546875" style="7" customWidth="1"/>
    <col min="6663" max="6912" width="9.109375" style="7"/>
    <col min="6913" max="6913" width="30.109375" style="7" customWidth="1"/>
    <col min="6914" max="6914" width="3.5546875" style="7" customWidth="1"/>
    <col min="6915" max="6915" width="14.5546875" style="7" customWidth="1"/>
    <col min="6916" max="6917" width="10.5546875" style="7" customWidth="1"/>
    <col min="6918" max="6918" width="14.5546875" style="7" customWidth="1"/>
    <col min="6919" max="7168" width="9.109375" style="7"/>
    <col min="7169" max="7169" width="30.109375" style="7" customWidth="1"/>
    <col min="7170" max="7170" width="3.5546875" style="7" customWidth="1"/>
    <col min="7171" max="7171" width="14.5546875" style="7" customWidth="1"/>
    <col min="7172" max="7173" width="10.5546875" style="7" customWidth="1"/>
    <col min="7174" max="7174" width="14.5546875" style="7" customWidth="1"/>
    <col min="7175" max="7424" width="9.109375" style="7"/>
    <col min="7425" max="7425" width="30.109375" style="7" customWidth="1"/>
    <col min="7426" max="7426" width="3.5546875" style="7" customWidth="1"/>
    <col min="7427" max="7427" width="14.5546875" style="7" customWidth="1"/>
    <col min="7428" max="7429" width="10.5546875" style="7" customWidth="1"/>
    <col min="7430" max="7430" width="14.5546875" style="7" customWidth="1"/>
    <col min="7431" max="7680" width="9.109375" style="7"/>
    <col min="7681" max="7681" width="30.109375" style="7" customWidth="1"/>
    <col min="7682" max="7682" width="3.5546875" style="7" customWidth="1"/>
    <col min="7683" max="7683" width="14.5546875" style="7" customWidth="1"/>
    <col min="7684" max="7685" width="10.5546875" style="7" customWidth="1"/>
    <col min="7686" max="7686" width="14.5546875" style="7" customWidth="1"/>
    <col min="7687" max="7936" width="9.109375" style="7"/>
    <col min="7937" max="7937" width="30.109375" style="7" customWidth="1"/>
    <col min="7938" max="7938" width="3.5546875" style="7" customWidth="1"/>
    <col min="7939" max="7939" width="14.5546875" style="7" customWidth="1"/>
    <col min="7940" max="7941" width="10.5546875" style="7" customWidth="1"/>
    <col min="7942" max="7942" width="14.5546875" style="7" customWidth="1"/>
    <col min="7943" max="8192" width="9.109375" style="7"/>
    <col min="8193" max="8193" width="30.109375" style="7" customWidth="1"/>
    <col min="8194" max="8194" width="3.5546875" style="7" customWidth="1"/>
    <col min="8195" max="8195" width="14.5546875" style="7" customWidth="1"/>
    <col min="8196" max="8197" width="10.5546875" style="7" customWidth="1"/>
    <col min="8198" max="8198" width="14.5546875" style="7" customWidth="1"/>
    <col min="8199" max="8448" width="9.109375" style="7"/>
    <col min="8449" max="8449" width="30.109375" style="7" customWidth="1"/>
    <col min="8450" max="8450" width="3.5546875" style="7" customWidth="1"/>
    <col min="8451" max="8451" width="14.5546875" style="7" customWidth="1"/>
    <col min="8452" max="8453" width="10.5546875" style="7" customWidth="1"/>
    <col min="8454" max="8454" width="14.5546875" style="7" customWidth="1"/>
    <col min="8455" max="8704" width="9.109375" style="7"/>
    <col min="8705" max="8705" width="30.109375" style="7" customWidth="1"/>
    <col min="8706" max="8706" width="3.5546875" style="7" customWidth="1"/>
    <col min="8707" max="8707" width="14.5546875" style="7" customWidth="1"/>
    <col min="8708" max="8709" width="10.5546875" style="7" customWidth="1"/>
    <col min="8710" max="8710" width="14.5546875" style="7" customWidth="1"/>
    <col min="8711" max="8960" width="9.109375" style="7"/>
    <col min="8961" max="8961" width="30.109375" style="7" customWidth="1"/>
    <col min="8962" max="8962" width="3.5546875" style="7" customWidth="1"/>
    <col min="8963" max="8963" width="14.5546875" style="7" customWidth="1"/>
    <col min="8964" max="8965" width="10.5546875" style="7" customWidth="1"/>
    <col min="8966" max="8966" width="14.5546875" style="7" customWidth="1"/>
    <col min="8967" max="9216" width="9.109375" style="7"/>
    <col min="9217" max="9217" width="30.109375" style="7" customWidth="1"/>
    <col min="9218" max="9218" width="3.5546875" style="7" customWidth="1"/>
    <col min="9219" max="9219" width="14.5546875" style="7" customWidth="1"/>
    <col min="9220" max="9221" width="10.5546875" style="7" customWidth="1"/>
    <col min="9222" max="9222" width="14.5546875" style="7" customWidth="1"/>
    <col min="9223" max="9472" width="9.109375" style="7"/>
    <col min="9473" max="9473" width="30.109375" style="7" customWidth="1"/>
    <col min="9474" max="9474" width="3.5546875" style="7" customWidth="1"/>
    <col min="9475" max="9475" width="14.5546875" style="7" customWidth="1"/>
    <col min="9476" max="9477" width="10.5546875" style="7" customWidth="1"/>
    <col min="9478" max="9478" width="14.5546875" style="7" customWidth="1"/>
    <col min="9479" max="9728" width="9.109375" style="7"/>
    <col min="9729" max="9729" width="30.109375" style="7" customWidth="1"/>
    <col min="9730" max="9730" width="3.5546875" style="7" customWidth="1"/>
    <col min="9731" max="9731" width="14.5546875" style="7" customWidth="1"/>
    <col min="9732" max="9733" width="10.5546875" style="7" customWidth="1"/>
    <col min="9734" max="9734" width="14.5546875" style="7" customWidth="1"/>
    <col min="9735" max="9984" width="9.109375" style="7"/>
    <col min="9985" max="9985" width="30.109375" style="7" customWidth="1"/>
    <col min="9986" max="9986" width="3.5546875" style="7" customWidth="1"/>
    <col min="9987" max="9987" width="14.5546875" style="7" customWidth="1"/>
    <col min="9988" max="9989" width="10.5546875" style="7" customWidth="1"/>
    <col min="9990" max="9990" width="14.5546875" style="7" customWidth="1"/>
    <col min="9991" max="10240" width="9.109375" style="7"/>
    <col min="10241" max="10241" width="30.109375" style="7" customWidth="1"/>
    <col min="10242" max="10242" width="3.5546875" style="7" customWidth="1"/>
    <col min="10243" max="10243" width="14.5546875" style="7" customWidth="1"/>
    <col min="10244" max="10245" width="10.5546875" style="7" customWidth="1"/>
    <col min="10246" max="10246" width="14.5546875" style="7" customWidth="1"/>
    <col min="10247" max="10496" width="9.109375" style="7"/>
    <col min="10497" max="10497" width="30.109375" style="7" customWidth="1"/>
    <col min="10498" max="10498" width="3.5546875" style="7" customWidth="1"/>
    <col min="10499" max="10499" width="14.5546875" style="7" customWidth="1"/>
    <col min="10500" max="10501" width="10.5546875" style="7" customWidth="1"/>
    <col min="10502" max="10502" width="14.5546875" style="7" customWidth="1"/>
    <col min="10503" max="10752" width="9.109375" style="7"/>
    <col min="10753" max="10753" width="30.109375" style="7" customWidth="1"/>
    <col min="10754" max="10754" width="3.5546875" style="7" customWidth="1"/>
    <col min="10755" max="10755" width="14.5546875" style="7" customWidth="1"/>
    <col min="10756" max="10757" width="10.5546875" style="7" customWidth="1"/>
    <col min="10758" max="10758" width="14.5546875" style="7" customWidth="1"/>
    <col min="10759" max="11008" width="9.109375" style="7"/>
    <col min="11009" max="11009" width="30.109375" style="7" customWidth="1"/>
    <col min="11010" max="11010" width="3.5546875" style="7" customWidth="1"/>
    <col min="11011" max="11011" width="14.5546875" style="7" customWidth="1"/>
    <col min="11012" max="11013" width="10.5546875" style="7" customWidth="1"/>
    <col min="11014" max="11014" width="14.5546875" style="7" customWidth="1"/>
    <col min="11015" max="11264" width="9.109375" style="7"/>
    <col min="11265" max="11265" width="30.109375" style="7" customWidth="1"/>
    <col min="11266" max="11266" width="3.5546875" style="7" customWidth="1"/>
    <col min="11267" max="11267" width="14.5546875" style="7" customWidth="1"/>
    <col min="11268" max="11269" width="10.5546875" style="7" customWidth="1"/>
    <col min="11270" max="11270" width="14.5546875" style="7" customWidth="1"/>
    <col min="11271" max="11520" width="9.109375" style="7"/>
    <col min="11521" max="11521" width="30.109375" style="7" customWidth="1"/>
    <col min="11522" max="11522" width="3.5546875" style="7" customWidth="1"/>
    <col min="11523" max="11523" width="14.5546875" style="7" customWidth="1"/>
    <col min="11524" max="11525" width="10.5546875" style="7" customWidth="1"/>
    <col min="11526" max="11526" width="14.5546875" style="7" customWidth="1"/>
    <col min="11527" max="11776" width="9.109375" style="7"/>
    <col min="11777" max="11777" width="30.109375" style="7" customWidth="1"/>
    <col min="11778" max="11778" width="3.5546875" style="7" customWidth="1"/>
    <col min="11779" max="11779" width="14.5546875" style="7" customWidth="1"/>
    <col min="11780" max="11781" width="10.5546875" style="7" customWidth="1"/>
    <col min="11782" max="11782" width="14.5546875" style="7" customWidth="1"/>
    <col min="11783" max="12032" width="9.109375" style="7"/>
    <col min="12033" max="12033" width="30.109375" style="7" customWidth="1"/>
    <col min="12034" max="12034" width="3.5546875" style="7" customWidth="1"/>
    <col min="12035" max="12035" width="14.5546875" style="7" customWidth="1"/>
    <col min="12036" max="12037" width="10.5546875" style="7" customWidth="1"/>
    <col min="12038" max="12038" width="14.5546875" style="7" customWidth="1"/>
    <col min="12039" max="12288" width="9.109375" style="7"/>
    <col min="12289" max="12289" width="30.109375" style="7" customWidth="1"/>
    <col min="12290" max="12290" width="3.5546875" style="7" customWidth="1"/>
    <col min="12291" max="12291" width="14.5546875" style="7" customWidth="1"/>
    <col min="12292" max="12293" width="10.5546875" style="7" customWidth="1"/>
    <col min="12294" max="12294" width="14.5546875" style="7" customWidth="1"/>
    <col min="12295" max="12544" width="9.109375" style="7"/>
    <col min="12545" max="12545" width="30.109375" style="7" customWidth="1"/>
    <col min="12546" max="12546" width="3.5546875" style="7" customWidth="1"/>
    <col min="12547" max="12547" width="14.5546875" style="7" customWidth="1"/>
    <col min="12548" max="12549" width="10.5546875" style="7" customWidth="1"/>
    <col min="12550" max="12550" width="14.5546875" style="7" customWidth="1"/>
    <col min="12551" max="12800" width="9.109375" style="7"/>
    <col min="12801" max="12801" width="30.109375" style="7" customWidth="1"/>
    <col min="12802" max="12802" width="3.5546875" style="7" customWidth="1"/>
    <col min="12803" max="12803" width="14.5546875" style="7" customWidth="1"/>
    <col min="12804" max="12805" width="10.5546875" style="7" customWidth="1"/>
    <col min="12806" max="12806" width="14.5546875" style="7" customWidth="1"/>
    <col min="12807" max="13056" width="9.109375" style="7"/>
    <col min="13057" max="13057" width="30.109375" style="7" customWidth="1"/>
    <col min="13058" max="13058" width="3.5546875" style="7" customWidth="1"/>
    <col min="13059" max="13059" width="14.5546875" style="7" customWidth="1"/>
    <col min="13060" max="13061" width="10.5546875" style="7" customWidth="1"/>
    <col min="13062" max="13062" width="14.5546875" style="7" customWidth="1"/>
    <col min="13063" max="13312" width="9.109375" style="7"/>
    <col min="13313" max="13313" width="30.109375" style="7" customWidth="1"/>
    <col min="13314" max="13314" width="3.5546875" style="7" customWidth="1"/>
    <col min="13315" max="13315" width="14.5546875" style="7" customWidth="1"/>
    <col min="13316" max="13317" width="10.5546875" style="7" customWidth="1"/>
    <col min="13318" max="13318" width="14.5546875" style="7" customWidth="1"/>
    <col min="13319" max="13568" width="9.109375" style="7"/>
    <col min="13569" max="13569" width="30.109375" style="7" customWidth="1"/>
    <col min="13570" max="13570" width="3.5546875" style="7" customWidth="1"/>
    <col min="13571" max="13571" width="14.5546875" style="7" customWidth="1"/>
    <col min="13572" max="13573" width="10.5546875" style="7" customWidth="1"/>
    <col min="13574" max="13574" width="14.5546875" style="7" customWidth="1"/>
    <col min="13575" max="13824" width="9.109375" style="7"/>
    <col min="13825" max="13825" width="30.109375" style="7" customWidth="1"/>
    <col min="13826" max="13826" width="3.5546875" style="7" customWidth="1"/>
    <col min="13827" max="13827" width="14.5546875" style="7" customWidth="1"/>
    <col min="13828" max="13829" width="10.5546875" style="7" customWidth="1"/>
    <col min="13830" max="13830" width="14.5546875" style="7" customWidth="1"/>
    <col min="13831" max="14080" width="9.109375" style="7"/>
    <col min="14081" max="14081" width="30.109375" style="7" customWidth="1"/>
    <col min="14082" max="14082" width="3.5546875" style="7" customWidth="1"/>
    <col min="14083" max="14083" width="14.5546875" style="7" customWidth="1"/>
    <col min="14084" max="14085" width="10.5546875" style="7" customWidth="1"/>
    <col min="14086" max="14086" width="14.5546875" style="7" customWidth="1"/>
    <col min="14087" max="14336" width="9.109375" style="7"/>
    <col min="14337" max="14337" width="30.109375" style="7" customWidth="1"/>
    <col min="14338" max="14338" width="3.5546875" style="7" customWidth="1"/>
    <col min="14339" max="14339" width="14.5546875" style="7" customWidth="1"/>
    <col min="14340" max="14341" width="10.5546875" style="7" customWidth="1"/>
    <col min="14342" max="14342" width="14.5546875" style="7" customWidth="1"/>
    <col min="14343" max="14592" width="9.109375" style="7"/>
    <col min="14593" max="14593" width="30.109375" style="7" customWidth="1"/>
    <col min="14594" max="14594" width="3.5546875" style="7" customWidth="1"/>
    <col min="14595" max="14595" width="14.5546875" style="7" customWidth="1"/>
    <col min="14596" max="14597" width="10.5546875" style="7" customWidth="1"/>
    <col min="14598" max="14598" width="14.5546875" style="7" customWidth="1"/>
    <col min="14599" max="14848" width="9.109375" style="7"/>
    <col min="14849" max="14849" width="30.109375" style="7" customWidth="1"/>
    <col min="14850" max="14850" width="3.5546875" style="7" customWidth="1"/>
    <col min="14851" max="14851" width="14.5546875" style="7" customWidth="1"/>
    <col min="14852" max="14853" width="10.5546875" style="7" customWidth="1"/>
    <col min="14854" max="14854" width="14.5546875" style="7" customWidth="1"/>
    <col min="14855" max="15104" width="9.109375" style="7"/>
    <col min="15105" max="15105" width="30.109375" style="7" customWidth="1"/>
    <col min="15106" max="15106" width="3.5546875" style="7" customWidth="1"/>
    <col min="15107" max="15107" width="14.5546875" style="7" customWidth="1"/>
    <col min="15108" max="15109" width="10.5546875" style="7" customWidth="1"/>
    <col min="15110" max="15110" width="14.5546875" style="7" customWidth="1"/>
    <col min="15111" max="15360" width="9.109375" style="7"/>
    <col min="15361" max="15361" width="30.109375" style="7" customWidth="1"/>
    <col min="15362" max="15362" width="3.5546875" style="7" customWidth="1"/>
    <col min="15363" max="15363" width="14.5546875" style="7" customWidth="1"/>
    <col min="15364" max="15365" width="10.5546875" style="7" customWidth="1"/>
    <col min="15366" max="15366" width="14.5546875" style="7" customWidth="1"/>
    <col min="15367" max="15616" width="9.109375" style="7"/>
    <col min="15617" max="15617" width="30.109375" style="7" customWidth="1"/>
    <col min="15618" max="15618" width="3.5546875" style="7" customWidth="1"/>
    <col min="15619" max="15619" width="14.5546875" style="7" customWidth="1"/>
    <col min="15620" max="15621" width="10.5546875" style="7" customWidth="1"/>
    <col min="15622" max="15622" width="14.5546875" style="7" customWidth="1"/>
    <col min="15623" max="15872" width="9.109375" style="7"/>
    <col min="15873" max="15873" width="30.109375" style="7" customWidth="1"/>
    <col min="15874" max="15874" width="3.5546875" style="7" customWidth="1"/>
    <col min="15875" max="15875" width="14.5546875" style="7" customWidth="1"/>
    <col min="15876" max="15877" width="10.5546875" style="7" customWidth="1"/>
    <col min="15878" max="15878" width="14.5546875" style="7" customWidth="1"/>
    <col min="15879" max="16128" width="9.109375" style="7"/>
    <col min="16129" max="16129" width="30.109375" style="7" customWidth="1"/>
    <col min="16130" max="16130" width="3.5546875" style="7" customWidth="1"/>
    <col min="16131" max="16131" width="14.5546875" style="7" customWidth="1"/>
    <col min="16132" max="16133" width="10.5546875" style="7" customWidth="1"/>
    <col min="16134" max="16134" width="14.5546875" style="7" customWidth="1"/>
    <col min="16135" max="16384" width="9.109375" style="7"/>
  </cols>
  <sheetData>
    <row r="1" spans="1:6">
      <c r="A1" s="1145" t="s">
        <v>4</v>
      </c>
      <c r="B1" s="1145"/>
      <c r="C1" s="1145"/>
      <c r="D1" s="1145"/>
      <c r="E1" s="1145"/>
      <c r="F1" s="1145"/>
    </row>
    <row r="2" spans="1:6">
      <c r="A2" s="1145" t="s">
        <v>1761</v>
      </c>
      <c r="B2" s="1145"/>
      <c r="C2" s="1145"/>
      <c r="D2" s="1145"/>
      <c r="E2" s="1145"/>
      <c r="F2" s="1145"/>
    </row>
    <row r="3" spans="1:6">
      <c r="A3" s="1145"/>
      <c r="B3" s="1145"/>
      <c r="C3" s="1145"/>
      <c r="D3" s="1145"/>
      <c r="E3" s="1145"/>
      <c r="F3" s="1145"/>
    </row>
    <row r="5" spans="1:6">
      <c r="D5" s="1146" t="s">
        <v>264</v>
      </c>
      <c r="E5" s="1147"/>
    </row>
    <row r="6" spans="1:6">
      <c r="A6" s="164"/>
      <c r="C6" s="168"/>
      <c r="D6" s="169" t="s">
        <v>265</v>
      </c>
      <c r="E6" s="170" t="s">
        <v>266</v>
      </c>
    </row>
    <row r="7" spans="1:6">
      <c r="A7" s="9" t="s">
        <v>267</v>
      </c>
      <c r="B7" s="171"/>
      <c r="C7" s="172" t="s">
        <v>42</v>
      </c>
      <c r="D7" s="172" t="s">
        <v>268</v>
      </c>
      <c r="E7" s="173" t="s">
        <v>269</v>
      </c>
      <c r="F7" s="174" t="s">
        <v>270</v>
      </c>
    </row>
    <row r="8" spans="1:6" ht="3.9" customHeight="1">
      <c r="A8" s="171"/>
      <c r="B8" s="171"/>
      <c r="C8" s="169"/>
      <c r="D8" s="169"/>
      <c r="E8" s="170"/>
      <c r="F8" s="952"/>
    </row>
    <row r="9" spans="1:6">
      <c r="A9" s="8" t="s">
        <v>1763</v>
      </c>
      <c r="D9" s="168"/>
      <c r="E9" s="175"/>
      <c r="F9" s="12"/>
    </row>
    <row r="10" spans="1:6">
      <c r="A10" s="176">
        <v>2018</v>
      </c>
      <c r="C10" s="12">
        <v>43358.92</v>
      </c>
      <c r="D10" s="13">
        <v>860</v>
      </c>
      <c r="E10" s="13">
        <v>1635</v>
      </c>
      <c r="F10" s="12">
        <f>(E10/D10)*C10</f>
        <v>82432.365348837207</v>
      </c>
    </row>
    <row r="11" spans="1:6">
      <c r="A11" s="176">
        <v>2019</v>
      </c>
      <c r="C11" s="12">
        <v>39194.32</v>
      </c>
      <c r="D11" s="13">
        <v>869</v>
      </c>
      <c r="E11" s="13">
        <v>1635</v>
      </c>
      <c r="F11" s="12">
        <f>(E11/D11)*C11</f>
        <v>73743.053164556957</v>
      </c>
    </row>
    <row r="12" spans="1:6">
      <c r="A12" s="176">
        <v>2020</v>
      </c>
      <c r="C12" s="12">
        <v>219821.36</v>
      </c>
      <c r="D12" s="13">
        <v>945</v>
      </c>
      <c r="E12" s="13">
        <v>1635</v>
      </c>
      <c r="F12" s="12">
        <f>(E12/D12)*C12</f>
        <v>380325.84507936507</v>
      </c>
    </row>
    <row r="13" spans="1:6">
      <c r="A13" s="176">
        <v>2021</v>
      </c>
      <c r="C13" s="12">
        <v>472116.03999999986</v>
      </c>
      <c r="D13" s="13">
        <v>1161</v>
      </c>
      <c r="E13" s="13">
        <v>1635</v>
      </c>
      <c r="F13" s="12">
        <f>(E13/D13)*C13</f>
        <v>664866.25788113673</v>
      </c>
    </row>
    <row r="14" spans="1:6">
      <c r="A14" s="176">
        <v>2022</v>
      </c>
      <c r="C14" s="12">
        <v>784720.20000000042</v>
      </c>
      <c r="D14" s="13">
        <v>1261</v>
      </c>
      <c r="E14" s="13">
        <v>1635</v>
      </c>
      <c r="F14" s="12">
        <f t="shared" ref="F14:F16" si="0">(E14/D14)*C14</f>
        <v>1017460.3703409998</v>
      </c>
    </row>
    <row r="15" spans="1:6">
      <c r="A15" s="176">
        <v>2023</v>
      </c>
      <c r="C15" s="12">
        <v>652671.35999999987</v>
      </c>
      <c r="D15" s="13">
        <v>1635</v>
      </c>
      <c r="E15" s="13">
        <v>1635</v>
      </c>
      <c r="F15" s="12">
        <f t="shared" si="0"/>
        <v>652671.35999999987</v>
      </c>
    </row>
    <row r="16" spans="1:6">
      <c r="A16" s="176">
        <v>2024</v>
      </c>
      <c r="C16" s="12">
        <v>183983.8</v>
      </c>
      <c r="D16" s="13">
        <v>1635</v>
      </c>
      <c r="E16" s="13">
        <v>1635</v>
      </c>
      <c r="F16" s="12">
        <f t="shared" si="0"/>
        <v>183983.8</v>
      </c>
    </row>
    <row r="18" spans="1:7">
      <c r="A18" s="6" t="s">
        <v>1764</v>
      </c>
      <c r="C18" s="12"/>
      <c r="D18" s="13"/>
      <c r="E18" s="13"/>
      <c r="F18" s="12"/>
    </row>
    <row r="19" spans="1:7">
      <c r="A19" s="176">
        <v>2018</v>
      </c>
      <c r="C19" s="12">
        <v>55184.08</v>
      </c>
      <c r="D19" s="13">
        <v>518</v>
      </c>
      <c r="E19" s="13">
        <v>699</v>
      </c>
      <c r="F19" s="12">
        <f t="shared" ref="F19:F25" si="1">(E19/D19)*C19</f>
        <v>74466.548108108109</v>
      </c>
    </row>
    <row r="20" spans="1:7">
      <c r="A20" s="176">
        <v>2019</v>
      </c>
      <c r="C20" s="12">
        <v>49883.680000000008</v>
      </c>
      <c r="D20" s="13">
        <v>539</v>
      </c>
      <c r="E20" s="13">
        <v>699</v>
      </c>
      <c r="F20" s="12">
        <f t="shared" si="1"/>
        <v>64691.451428571439</v>
      </c>
    </row>
    <row r="21" spans="1:7">
      <c r="A21" s="176">
        <v>2020</v>
      </c>
      <c r="C21" s="12">
        <v>279772.64000000007</v>
      </c>
      <c r="D21" s="13">
        <v>555</v>
      </c>
      <c r="E21" s="13">
        <v>699</v>
      </c>
      <c r="F21" s="12">
        <f t="shared" si="1"/>
        <v>352362.29794594605</v>
      </c>
    </row>
    <row r="22" spans="1:7">
      <c r="A22" s="176">
        <v>2021</v>
      </c>
      <c r="C22" s="12">
        <v>600874.96</v>
      </c>
      <c r="D22" s="13">
        <v>586</v>
      </c>
      <c r="E22" s="13">
        <v>699</v>
      </c>
      <c r="F22" s="12">
        <f t="shared" si="1"/>
        <v>716743.33965870307</v>
      </c>
    </row>
    <row r="23" spans="1:7">
      <c r="A23" s="176">
        <v>2022</v>
      </c>
      <c r="C23" s="12">
        <v>998734.79999999958</v>
      </c>
      <c r="D23" s="13">
        <v>644</v>
      </c>
      <c r="E23" s="13">
        <v>699</v>
      </c>
      <c r="F23" s="12">
        <f t="shared" si="1"/>
        <v>1084030.473913043</v>
      </c>
    </row>
    <row r="24" spans="1:7">
      <c r="A24" s="176">
        <v>2023</v>
      </c>
      <c r="C24" s="12">
        <v>830672.64000000013</v>
      </c>
      <c r="D24" s="13">
        <v>699</v>
      </c>
      <c r="E24" s="13">
        <v>699</v>
      </c>
      <c r="F24" s="12">
        <f t="shared" si="1"/>
        <v>830672.64000000013</v>
      </c>
    </row>
    <row r="25" spans="1:7">
      <c r="A25" s="176">
        <v>2024</v>
      </c>
      <c r="C25" s="12">
        <v>234161.2</v>
      </c>
      <c r="D25" s="13">
        <v>699</v>
      </c>
      <c r="E25" s="13">
        <v>699</v>
      </c>
      <c r="F25" s="12">
        <f t="shared" si="1"/>
        <v>234161.2</v>
      </c>
    </row>
    <row r="26" spans="1:7" ht="3.9" customHeight="1">
      <c r="A26" s="176"/>
      <c r="C26" s="12"/>
      <c r="D26" s="13"/>
      <c r="E26" s="13"/>
      <c r="F26" s="12"/>
    </row>
    <row r="27" spans="1:7" ht="13.8" thickBot="1">
      <c r="A27" s="7" t="s">
        <v>271</v>
      </c>
      <c r="C27" s="951">
        <f>SUM(C10:C16)+SUM(C19:C25)</f>
        <v>5445150</v>
      </c>
      <c r="D27" s="12"/>
      <c r="E27" s="12"/>
      <c r="F27" s="951">
        <f>SUM(F10:F16)+SUM(F19:F25)</f>
        <v>6412611.0028692679</v>
      </c>
    </row>
    <row r="28" spans="1:7" ht="13.8" thickTop="1">
      <c r="C28" s="12"/>
      <c r="D28" s="13"/>
      <c r="E28" s="13"/>
      <c r="F28" s="12"/>
    </row>
    <row r="29" spans="1:7">
      <c r="C29" s="12"/>
      <c r="D29" s="12"/>
      <c r="E29" s="12"/>
      <c r="F29" s="12"/>
    </row>
    <row r="30" spans="1:7" ht="13.8" thickBot="1">
      <c r="C30" s="12"/>
      <c r="D30" s="177" t="s">
        <v>272</v>
      </c>
      <c r="E30" s="178"/>
      <c r="F30" s="1143">
        <f>+F27/C27</f>
        <v>1.177673893808117</v>
      </c>
      <c r="G30" s="1140" t="s">
        <v>1943</v>
      </c>
    </row>
    <row r="31" spans="1:7" ht="13.8" thickTop="1"/>
  </sheetData>
  <mergeCells count="4">
    <mergeCell ref="A1:F1"/>
    <mergeCell ref="A2:F2"/>
    <mergeCell ref="D5:E5"/>
    <mergeCell ref="A3:F3"/>
  </mergeCells>
  <pageMargins left="0.7" right="0.7" top="0.75" bottom="0.75" header="0.3" footer="0.3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047B5-D438-477E-BAFA-73AECA47E31B}">
  <sheetPr>
    <tabColor rgb="FFFFFFCC"/>
    <pageSetUpPr fitToPage="1"/>
  </sheetPr>
  <dimension ref="A1:K70"/>
  <sheetViews>
    <sheetView zoomScaleNormal="100" zoomScaleSheetLayoutView="100" workbookViewId="0"/>
  </sheetViews>
  <sheetFormatPr defaultColWidth="7" defaultRowHeight="10.199999999999999"/>
  <cols>
    <col min="1" max="1" width="3.88671875" style="156" customWidth="1"/>
    <col min="2" max="2" width="2.88671875" style="156" customWidth="1"/>
    <col min="3" max="3" width="29.88671875" style="156" customWidth="1"/>
    <col min="4" max="4" width="2.88671875" style="156" customWidth="1"/>
    <col min="5" max="5" width="11.109375" style="156" customWidth="1"/>
    <col min="6" max="6" width="2.88671875" style="156" customWidth="1"/>
    <col min="7" max="7" width="12.88671875" style="156" customWidth="1"/>
    <col min="8" max="8" width="2.88671875" style="156" customWidth="1"/>
    <col min="9" max="9" width="13.44140625" style="156" customWidth="1"/>
    <col min="10" max="10" width="2.88671875" style="156" customWidth="1"/>
    <col min="11" max="11" width="3.88671875" style="156" customWidth="1"/>
    <col min="12" max="241" width="7" style="156"/>
    <col min="242" max="242" width="4.44140625" style="156" customWidth="1"/>
    <col min="243" max="243" width="2.88671875" style="156" customWidth="1"/>
    <col min="244" max="244" width="29.88671875" style="156" customWidth="1"/>
    <col min="245" max="245" width="4.44140625" style="156" customWidth="1"/>
    <col min="246" max="246" width="11.109375" style="156" customWidth="1"/>
    <col min="247" max="247" width="4.44140625" style="156" customWidth="1"/>
    <col min="248" max="248" width="12.88671875" style="156" customWidth="1"/>
    <col min="249" max="249" width="4.44140625" style="156" customWidth="1"/>
    <col min="250" max="250" width="13.44140625" style="156" customWidth="1"/>
    <col min="251" max="251" width="3.109375" style="156" customWidth="1"/>
    <col min="252" max="252" width="0.88671875" style="156" customWidth="1"/>
    <col min="253" max="253" width="0" style="156" hidden="1" customWidth="1"/>
    <col min="254" max="254" width="4.44140625" style="156" customWidth="1"/>
    <col min="255" max="255" width="8" style="156" customWidth="1"/>
    <col min="256" max="256" width="17.44140625" style="156" customWidth="1"/>
    <col min="257" max="257" width="8" style="156" customWidth="1"/>
    <col min="258" max="260" width="18.6640625" style="156" customWidth="1"/>
    <col min="261" max="262" width="12.109375" style="156" customWidth="1"/>
    <col min="263" max="263" width="9.6640625" style="156" customWidth="1"/>
    <col min="264" max="265" width="8" style="156" customWidth="1"/>
    <col min="266" max="497" width="7" style="156"/>
    <col min="498" max="498" width="4.44140625" style="156" customWidth="1"/>
    <col min="499" max="499" width="2.88671875" style="156" customWidth="1"/>
    <col min="500" max="500" width="29.88671875" style="156" customWidth="1"/>
    <col min="501" max="501" width="4.44140625" style="156" customWidth="1"/>
    <col min="502" max="502" width="11.109375" style="156" customWidth="1"/>
    <col min="503" max="503" width="4.44140625" style="156" customWidth="1"/>
    <col min="504" max="504" width="12.88671875" style="156" customWidth="1"/>
    <col min="505" max="505" width="4.44140625" style="156" customWidth="1"/>
    <col min="506" max="506" width="13.44140625" style="156" customWidth="1"/>
    <col min="507" max="507" width="3.109375" style="156" customWidth="1"/>
    <col min="508" max="508" width="0.88671875" style="156" customWidth="1"/>
    <col min="509" max="509" width="0" style="156" hidden="1" customWidth="1"/>
    <col min="510" max="510" width="4.44140625" style="156" customWidth="1"/>
    <col min="511" max="511" width="8" style="156" customWidth="1"/>
    <col min="512" max="512" width="17.44140625" style="156" customWidth="1"/>
    <col min="513" max="513" width="8" style="156" customWidth="1"/>
    <col min="514" max="516" width="18.6640625" style="156" customWidth="1"/>
    <col min="517" max="518" width="12.109375" style="156" customWidth="1"/>
    <col min="519" max="519" width="9.6640625" style="156" customWidth="1"/>
    <col min="520" max="521" width="8" style="156" customWidth="1"/>
    <col min="522" max="753" width="7" style="156"/>
    <col min="754" max="754" width="4.44140625" style="156" customWidth="1"/>
    <col min="755" max="755" width="2.88671875" style="156" customWidth="1"/>
    <col min="756" max="756" width="29.88671875" style="156" customWidth="1"/>
    <col min="757" max="757" width="4.44140625" style="156" customWidth="1"/>
    <col min="758" max="758" width="11.109375" style="156" customWidth="1"/>
    <col min="759" max="759" width="4.44140625" style="156" customWidth="1"/>
    <col min="760" max="760" width="12.88671875" style="156" customWidth="1"/>
    <col min="761" max="761" width="4.44140625" style="156" customWidth="1"/>
    <col min="762" max="762" width="13.44140625" style="156" customWidth="1"/>
    <col min="763" max="763" width="3.109375" style="156" customWidth="1"/>
    <col min="764" max="764" width="0.88671875" style="156" customWidth="1"/>
    <col min="765" max="765" width="0" style="156" hidden="1" customWidth="1"/>
    <col min="766" max="766" width="4.44140625" style="156" customWidth="1"/>
    <col min="767" max="767" width="8" style="156" customWidth="1"/>
    <col min="768" max="768" width="17.44140625" style="156" customWidth="1"/>
    <col min="769" max="769" width="8" style="156" customWidth="1"/>
    <col min="770" max="772" width="18.6640625" style="156" customWidth="1"/>
    <col min="773" max="774" width="12.109375" style="156" customWidth="1"/>
    <col min="775" max="775" width="9.6640625" style="156" customWidth="1"/>
    <col min="776" max="777" width="8" style="156" customWidth="1"/>
    <col min="778" max="1009" width="7" style="156"/>
    <col min="1010" max="1010" width="4.44140625" style="156" customWidth="1"/>
    <col min="1011" max="1011" width="2.88671875" style="156" customWidth="1"/>
    <col min="1012" max="1012" width="29.88671875" style="156" customWidth="1"/>
    <col min="1013" max="1013" width="4.44140625" style="156" customWidth="1"/>
    <col min="1014" max="1014" width="11.109375" style="156" customWidth="1"/>
    <col min="1015" max="1015" width="4.44140625" style="156" customWidth="1"/>
    <col min="1016" max="1016" width="12.88671875" style="156" customWidth="1"/>
    <col min="1017" max="1017" width="4.44140625" style="156" customWidth="1"/>
    <col min="1018" max="1018" width="13.44140625" style="156" customWidth="1"/>
    <col min="1019" max="1019" width="3.109375" style="156" customWidth="1"/>
    <col min="1020" max="1020" width="0.88671875" style="156" customWidth="1"/>
    <col min="1021" max="1021" width="0" style="156" hidden="1" customWidth="1"/>
    <col min="1022" max="1022" width="4.44140625" style="156" customWidth="1"/>
    <col min="1023" max="1023" width="8" style="156" customWidth="1"/>
    <col min="1024" max="1024" width="17.44140625" style="156" customWidth="1"/>
    <col min="1025" max="1025" width="8" style="156" customWidth="1"/>
    <col min="1026" max="1028" width="18.6640625" style="156" customWidth="1"/>
    <col min="1029" max="1030" width="12.109375" style="156" customWidth="1"/>
    <col min="1031" max="1031" width="9.6640625" style="156" customWidth="1"/>
    <col min="1032" max="1033" width="8" style="156" customWidth="1"/>
    <col min="1034" max="1265" width="7" style="156"/>
    <col min="1266" max="1266" width="4.44140625" style="156" customWidth="1"/>
    <col min="1267" max="1267" width="2.88671875" style="156" customWidth="1"/>
    <col min="1268" max="1268" width="29.88671875" style="156" customWidth="1"/>
    <col min="1269" max="1269" width="4.44140625" style="156" customWidth="1"/>
    <col min="1270" max="1270" width="11.109375" style="156" customWidth="1"/>
    <col min="1271" max="1271" width="4.44140625" style="156" customWidth="1"/>
    <col min="1272" max="1272" width="12.88671875" style="156" customWidth="1"/>
    <col min="1273" max="1273" width="4.44140625" style="156" customWidth="1"/>
    <col min="1274" max="1274" width="13.44140625" style="156" customWidth="1"/>
    <col min="1275" max="1275" width="3.109375" style="156" customWidth="1"/>
    <col min="1276" max="1276" width="0.88671875" style="156" customWidth="1"/>
    <col min="1277" max="1277" width="0" style="156" hidden="1" customWidth="1"/>
    <col min="1278" max="1278" width="4.44140625" style="156" customWidth="1"/>
    <col min="1279" max="1279" width="8" style="156" customWidth="1"/>
    <col min="1280" max="1280" width="17.44140625" style="156" customWidth="1"/>
    <col min="1281" max="1281" width="8" style="156" customWidth="1"/>
    <col min="1282" max="1284" width="18.6640625" style="156" customWidth="1"/>
    <col min="1285" max="1286" width="12.109375" style="156" customWidth="1"/>
    <col min="1287" max="1287" width="9.6640625" style="156" customWidth="1"/>
    <col min="1288" max="1289" width="8" style="156" customWidth="1"/>
    <col min="1290" max="1521" width="7" style="156"/>
    <col min="1522" max="1522" width="4.44140625" style="156" customWidth="1"/>
    <col min="1523" max="1523" width="2.88671875" style="156" customWidth="1"/>
    <col min="1524" max="1524" width="29.88671875" style="156" customWidth="1"/>
    <col min="1525" max="1525" width="4.44140625" style="156" customWidth="1"/>
    <col min="1526" max="1526" width="11.109375" style="156" customWidth="1"/>
    <col min="1527" max="1527" width="4.44140625" style="156" customWidth="1"/>
    <col min="1528" max="1528" width="12.88671875" style="156" customWidth="1"/>
    <col min="1529" max="1529" width="4.44140625" style="156" customWidth="1"/>
    <col min="1530" max="1530" width="13.44140625" style="156" customWidth="1"/>
    <col min="1531" max="1531" width="3.109375" style="156" customWidth="1"/>
    <col min="1532" max="1532" width="0.88671875" style="156" customWidth="1"/>
    <col min="1533" max="1533" width="0" style="156" hidden="1" customWidth="1"/>
    <col min="1534" max="1534" width="4.44140625" style="156" customWidth="1"/>
    <col min="1535" max="1535" width="8" style="156" customWidth="1"/>
    <col min="1536" max="1536" width="17.44140625" style="156" customWidth="1"/>
    <col min="1537" max="1537" width="8" style="156" customWidth="1"/>
    <col min="1538" max="1540" width="18.6640625" style="156" customWidth="1"/>
    <col min="1541" max="1542" width="12.109375" style="156" customWidth="1"/>
    <col min="1543" max="1543" width="9.6640625" style="156" customWidth="1"/>
    <col min="1544" max="1545" width="8" style="156" customWidth="1"/>
    <col min="1546" max="1777" width="7" style="156"/>
    <col min="1778" max="1778" width="4.44140625" style="156" customWidth="1"/>
    <col min="1779" max="1779" width="2.88671875" style="156" customWidth="1"/>
    <col min="1780" max="1780" width="29.88671875" style="156" customWidth="1"/>
    <col min="1781" max="1781" width="4.44140625" style="156" customWidth="1"/>
    <col min="1782" max="1782" width="11.109375" style="156" customWidth="1"/>
    <col min="1783" max="1783" width="4.44140625" style="156" customWidth="1"/>
    <col min="1784" max="1784" width="12.88671875" style="156" customWidth="1"/>
    <col min="1785" max="1785" width="4.44140625" style="156" customWidth="1"/>
    <col min="1786" max="1786" width="13.44140625" style="156" customWidth="1"/>
    <col min="1787" max="1787" width="3.109375" style="156" customWidth="1"/>
    <col min="1788" max="1788" width="0.88671875" style="156" customWidth="1"/>
    <col min="1789" max="1789" width="0" style="156" hidden="1" customWidth="1"/>
    <col min="1790" max="1790" width="4.44140625" style="156" customWidth="1"/>
    <col min="1791" max="1791" width="8" style="156" customWidth="1"/>
    <col min="1792" max="1792" width="17.44140625" style="156" customWidth="1"/>
    <col min="1793" max="1793" width="8" style="156" customWidth="1"/>
    <col min="1794" max="1796" width="18.6640625" style="156" customWidth="1"/>
    <col min="1797" max="1798" width="12.109375" style="156" customWidth="1"/>
    <col min="1799" max="1799" width="9.6640625" style="156" customWidth="1"/>
    <col min="1800" max="1801" width="8" style="156" customWidth="1"/>
    <col min="1802" max="2033" width="7" style="156"/>
    <col min="2034" max="2034" width="4.44140625" style="156" customWidth="1"/>
    <col min="2035" max="2035" width="2.88671875" style="156" customWidth="1"/>
    <col min="2036" max="2036" width="29.88671875" style="156" customWidth="1"/>
    <col min="2037" max="2037" width="4.44140625" style="156" customWidth="1"/>
    <col min="2038" max="2038" width="11.109375" style="156" customWidth="1"/>
    <col min="2039" max="2039" width="4.44140625" style="156" customWidth="1"/>
    <col min="2040" max="2040" width="12.88671875" style="156" customWidth="1"/>
    <col min="2041" max="2041" width="4.44140625" style="156" customWidth="1"/>
    <col min="2042" max="2042" width="13.44140625" style="156" customWidth="1"/>
    <col min="2043" max="2043" width="3.109375" style="156" customWidth="1"/>
    <col min="2044" max="2044" width="0.88671875" style="156" customWidth="1"/>
    <col min="2045" max="2045" width="0" style="156" hidden="1" customWidth="1"/>
    <col min="2046" max="2046" width="4.44140625" style="156" customWidth="1"/>
    <col min="2047" max="2047" width="8" style="156" customWidth="1"/>
    <col min="2048" max="2048" width="17.44140625" style="156" customWidth="1"/>
    <col min="2049" max="2049" width="8" style="156" customWidth="1"/>
    <col min="2050" max="2052" width="18.6640625" style="156" customWidth="1"/>
    <col min="2053" max="2054" width="12.109375" style="156" customWidth="1"/>
    <col min="2055" max="2055" width="9.6640625" style="156" customWidth="1"/>
    <col min="2056" max="2057" width="8" style="156" customWidth="1"/>
    <col min="2058" max="2289" width="7" style="156"/>
    <col min="2290" max="2290" width="4.44140625" style="156" customWidth="1"/>
    <col min="2291" max="2291" width="2.88671875" style="156" customWidth="1"/>
    <col min="2292" max="2292" width="29.88671875" style="156" customWidth="1"/>
    <col min="2293" max="2293" width="4.44140625" style="156" customWidth="1"/>
    <col min="2294" max="2294" width="11.109375" style="156" customWidth="1"/>
    <col min="2295" max="2295" width="4.44140625" style="156" customWidth="1"/>
    <col min="2296" max="2296" width="12.88671875" style="156" customWidth="1"/>
    <col min="2297" max="2297" width="4.44140625" style="156" customWidth="1"/>
    <col min="2298" max="2298" width="13.44140625" style="156" customWidth="1"/>
    <col min="2299" max="2299" width="3.109375" style="156" customWidth="1"/>
    <col min="2300" max="2300" width="0.88671875" style="156" customWidth="1"/>
    <col min="2301" max="2301" width="0" style="156" hidden="1" customWidth="1"/>
    <col min="2302" max="2302" width="4.44140625" style="156" customWidth="1"/>
    <col min="2303" max="2303" width="8" style="156" customWidth="1"/>
    <col min="2304" max="2304" width="17.44140625" style="156" customWidth="1"/>
    <col min="2305" max="2305" width="8" style="156" customWidth="1"/>
    <col min="2306" max="2308" width="18.6640625" style="156" customWidth="1"/>
    <col min="2309" max="2310" width="12.109375" style="156" customWidth="1"/>
    <col min="2311" max="2311" width="9.6640625" style="156" customWidth="1"/>
    <col min="2312" max="2313" width="8" style="156" customWidth="1"/>
    <col min="2314" max="2545" width="7" style="156"/>
    <col min="2546" max="2546" width="4.44140625" style="156" customWidth="1"/>
    <col min="2547" max="2547" width="2.88671875" style="156" customWidth="1"/>
    <col min="2548" max="2548" width="29.88671875" style="156" customWidth="1"/>
    <col min="2549" max="2549" width="4.44140625" style="156" customWidth="1"/>
    <col min="2550" max="2550" width="11.109375" style="156" customWidth="1"/>
    <col min="2551" max="2551" width="4.44140625" style="156" customWidth="1"/>
    <col min="2552" max="2552" width="12.88671875" style="156" customWidth="1"/>
    <col min="2553" max="2553" width="4.44140625" style="156" customWidth="1"/>
    <col min="2554" max="2554" width="13.44140625" style="156" customWidth="1"/>
    <col min="2555" max="2555" width="3.109375" style="156" customWidth="1"/>
    <col min="2556" max="2556" width="0.88671875" style="156" customWidth="1"/>
    <col min="2557" max="2557" width="0" style="156" hidden="1" customWidth="1"/>
    <col min="2558" max="2558" width="4.44140625" style="156" customWidth="1"/>
    <col min="2559" max="2559" width="8" style="156" customWidth="1"/>
    <col min="2560" max="2560" width="17.44140625" style="156" customWidth="1"/>
    <col min="2561" max="2561" width="8" style="156" customWidth="1"/>
    <col min="2562" max="2564" width="18.6640625" style="156" customWidth="1"/>
    <col min="2565" max="2566" width="12.109375" style="156" customWidth="1"/>
    <col min="2567" max="2567" width="9.6640625" style="156" customWidth="1"/>
    <col min="2568" max="2569" width="8" style="156" customWidth="1"/>
    <col min="2570" max="2801" width="7" style="156"/>
    <col min="2802" max="2802" width="4.44140625" style="156" customWidth="1"/>
    <col min="2803" max="2803" width="2.88671875" style="156" customWidth="1"/>
    <col min="2804" max="2804" width="29.88671875" style="156" customWidth="1"/>
    <col min="2805" max="2805" width="4.44140625" style="156" customWidth="1"/>
    <col min="2806" max="2806" width="11.109375" style="156" customWidth="1"/>
    <col min="2807" max="2807" width="4.44140625" style="156" customWidth="1"/>
    <col min="2808" max="2808" width="12.88671875" style="156" customWidth="1"/>
    <col min="2809" max="2809" width="4.44140625" style="156" customWidth="1"/>
    <col min="2810" max="2810" width="13.44140625" style="156" customWidth="1"/>
    <col min="2811" max="2811" width="3.109375" style="156" customWidth="1"/>
    <col min="2812" max="2812" width="0.88671875" style="156" customWidth="1"/>
    <col min="2813" max="2813" width="0" style="156" hidden="1" customWidth="1"/>
    <col min="2814" max="2814" width="4.44140625" style="156" customWidth="1"/>
    <col min="2815" max="2815" width="8" style="156" customWidth="1"/>
    <col min="2816" max="2816" width="17.44140625" style="156" customWidth="1"/>
    <col min="2817" max="2817" width="8" style="156" customWidth="1"/>
    <col min="2818" max="2820" width="18.6640625" style="156" customWidth="1"/>
    <col min="2821" max="2822" width="12.109375" style="156" customWidth="1"/>
    <col min="2823" max="2823" width="9.6640625" style="156" customWidth="1"/>
    <col min="2824" max="2825" width="8" style="156" customWidth="1"/>
    <col min="2826" max="3057" width="7" style="156"/>
    <col min="3058" max="3058" width="4.44140625" style="156" customWidth="1"/>
    <col min="3059" max="3059" width="2.88671875" style="156" customWidth="1"/>
    <col min="3060" max="3060" width="29.88671875" style="156" customWidth="1"/>
    <col min="3061" max="3061" width="4.44140625" style="156" customWidth="1"/>
    <col min="3062" max="3062" width="11.109375" style="156" customWidth="1"/>
    <col min="3063" max="3063" width="4.44140625" style="156" customWidth="1"/>
    <col min="3064" max="3064" width="12.88671875" style="156" customWidth="1"/>
    <col min="3065" max="3065" width="4.44140625" style="156" customWidth="1"/>
    <col min="3066" max="3066" width="13.44140625" style="156" customWidth="1"/>
    <col min="3067" max="3067" width="3.109375" style="156" customWidth="1"/>
    <col min="3068" max="3068" width="0.88671875" style="156" customWidth="1"/>
    <col min="3069" max="3069" width="0" style="156" hidden="1" customWidth="1"/>
    <col min="3070" max="3070" width="4.44140625" style="156" customWidth="1"/>
    <col min="3071" max="3071" width="8" style="156" customWidth="1"/>
    <col min="3072" max="3072" width="17.44140625" style="156" customWidth="1"/>
    <col min="3073" max="3073" width="8" style="156" customWidth="1"/>
    <col min="3074" max="3076" width="18.6640625" style="156" customWidth="1"/>
    <col min="3077" max="3078" width="12.109375" style="156" customWidth="1"/>
    <col min="3079" max="3079" width="9.6640625" style="156" customWidth="1"/>
    <col min="3080" max="3081" width="8" style="156" customWidth="1"/>
    <col min="3082" max="3313" width="7" style="156"/>
    <col min="3314" max="3314" width="4.44140625" style="156" customWidth="1"/>
    <col min="3315" max="3315" width="2.88671875" style="156" customWidth="1"/>
    <col min="3316" max="3316" width="29.88671875" style="156" customWidth="1"/>
    <col min="3317" max="3317" width="4.44140625" style="156" customWidth="1"/>
    <col min="3318" max="3318" width="11.109375" style="156" customWidth="1"/>
    <col min="3319" max="3319" width="4.44140625" style="156" customWidth="1"/>
    <col min="3320" max="3320" width="12.88671875" style="156" customWidth="1"/>
    <col min="3321" max="3321" width="4.44140625" style="156" customWidth="1"/>
    <col min="3322" max="3322" width="13.44140625" style="156" customWidth="1"/>
    <col min="3323" max="3323" width="3.109375" style="156" customWidth="1"/>
    <col min="3324" max="3324" width="0.88671875" style="156" customWidth="1"/>
    <col min="3325" max="3325" width="0" style="156" hidden="1" customWidth="1"/>
    <col min="3326" max="3326" width="4.44140625" style="156" customWidth="1"/>
    <col min="3327" max="3327" width="8" style="156" customWidth="1"/>
    <col min="3328" max="3328" width="17.44140625" style="156" customWidth="1"/>
    <col min="3329" max="3329" width="8" style="156" customWidth="1"/>
    <col min="3330" max="3332" width="18.6640625" style="156" customWidth="1"/>
    <col min="3333" max="3334" width="12.109375" style="156" customWidth="1"/>
    <col min="3335" max="3335" width="9.6640625" style="156" customWidth="1"/>
    <col min="3336" max="3337" width="8" style="156" customWidth="1"/>
    <col min="3338" max="3569" width="7" style="156"/>
    <col min="3570" max="3570" width="4.44140625" style="156" customWidth="1"/>
    <col min="3571" max="3571" width="2.88671875" style="156" customWidth="1"/>
    <col min="3572" max="3572" width="29.88671875" style="156" customWidth="1"/>
    <col min="3573" max="3573" width="4.44140625" style="156" customWidth="1"/>
    <col min="3574" max="3574" width="11.109375" style="156" customWidth="1"/>
    <col min="3575" max="3575" width="4.44140625" style="156" customWidth="1"/>
    <col min="3576" max="3576" width="12.88671875" style="156" customWidth="1"/>
    <col min="3577" max="3577" width="4.44140625" style="156" customWidth="1"/>
    <col min="3578" max="3578" width="13.44140625" style="156" customWidth="1"/>
    <col min="3579" max="3579" width="3.109375" style="156" customWidth="1"/>
    <col min="3580" max="3580" width="0.88671875" style="156" customWidth="1"/>
    <col min="3581" max="3581" width="0" style="156" hidden="1" customWidth="1"/>
    <col min="3582" max="3582" width="4.44140625" style="156" customWidth="1"/>
    <col min="3583" max="3583" width="8" style="156" customWidth="1"/>
    <col min="3584" max="3584" width="17.44140625" style="156" customWidth="1"/>
    <col min="3585" max="3585" width="8" style="156" customWidth="1"/>
    <col min="3586" max="3588" width="18.6640625" style="156" customWidth="1"/>
    <col min="3589" max="3590" width="12.109375" style="156" customWidth="1"/>
    <col min="3591" max="3591" width="9.6640625" style="156" customWidth="1"/>
    <col min="3592" max="3593" width="8" style="156" customWidth="1"/>
    <col min="3594" max="3825" width="7" style="156"/>
    <col min="3826" max="3826" width="4.44140625" style="156" customWidth="1"/>
    <col min="3827" max="3827" width="2.88671875" style="156" customWidth="1"/>
    <col min="3828" max="3828" width="29.88671875" style="156" customWidth="1"/>
    <col min="3829" max="3829" width="4.44140625" style="156" customWidth="1"/>
    <col min="3830" max="3830" width="11.109375" style="156" customWidth="1"/>
    <col min="3831" max="3831" width="4.44140625" style="156" customWidth="1"/>
    <col min="3832" max="3832" width="12.88671875" style="156" customWidth="1"/>
    <col min="3833" max="3833" width="4.44140625" style="156" customWidth="1"/>
    <col min="3834" max="3834" width="13.44140625" style="156" customWidth="1"/>
    <col min="3835" max="3835" width="3.109375" style="156" customWidth="1"/>
    <col min="3836" max="3836" width="0.88671875" style="156" customWidth="1"/>
    <col min="3837" max="3837" width="0" style="156" hidden="1" customWidth="1"/>
    <col min="3838" max="3838" width="4.44140625" style="156" customWidth="1"/>
    <col min="3839" max="3839" width="8" style="156" customWidth="1"/>
    <col min="3840" max="3840" width="17.44140625" style="156" customWidth="1"/>
    <col min="3841" max="3841" width="8" style="156" customWidth="1"/>
    <col min="3842" max="3844" width="18.6640625" style="156" customWidth="1"/>
    <col min="3845" max="3846" width="12.109375" style="156" customWidth="1"/>
    <col min="3847" max="3847" width="9.6640625" style="156" customWidth="1"/>
    <col min="3848" max="3849" width="8" style="156" customWidth="1"/>
    <col min="3850" max="4081" width="7" style="156"/>
    <col min="4082" max="4082" width="4.44140625" style="156" customWidth="1"/>
    <col min="4083" max="4083" width="2.88671875" style="156" customWidth="1"/>
    <col min="4084" max="4084" width="29.88671875" style="156" customWidth="1"/>
    <col min="4085" max="4085" width="4.44140625" style="156" customWidth="1"/>
    <col min="4086" max="4086" width="11.109375" style="156" customWidth="1"/>
    <col min="4087" max="4087" width="4.44140625" style="156" customWidth="1"/>
    <col min="4088" max="4088" width="12.88671875" style="156" customWidth="1"/>
    <col min="4089" max="4089" width="4.44140625" style="156" customWidth="1"/>
    <col min="4090" max="4090" width="13.44140625" style="156" customWidth="1"/>
    <col min="4091" max="4091" width="3.109375" style="156" customWidth="1"/>
    <col min="4092" max="4092" width="0.88671875" style="156" customWidth="1"/>
    <col min="4093" max="4093" width="0" style="156" hidden="1" customWidth="1"/>
    <col min="4094" max="4094" width="4.44140625" style="156" customWidth="1"/>
    <col min="4095" max="4095" width="8" style="156" customWidth="1"/>
    <col min="4096" max="4096" width="17.44140625" style="156" customWidth="1"/>
    <col min="4097" max="4097" width="8" style="156" customWidth="1"/>
    <col min="4098" max="4100" width="18.6640625" style="156" customWidth="1"/>
    <col min="4101" max="4102" width="12.109375" style="156" customWidth="1"/>
    <col min="4103" max="4103" width="9.6640625" style="156" customWidth="1"/>
    <col min="4104" max="4105" width="8" style="156" customWidth="1"/>
    <col min="4106" max="4337" width="7" style="156"/>
    <col min="4338" max="4338" width="4.44140625" style="156" customWidth="1"/>
    <col min="4339" max="4339" width="2.88671875" style="156" customWidth="1"/>
    <col min="4340" max="4340" width="29.88671875" style="156" customWidth="1"/>
    <col min="4341" max="4341" width="4.44140625" style="156" customWidth="1"/>
    <col min="4342" max="4342" width="11.109375" style="156" customWidth="1"/>
    <col min="4343" max="4343" width="4.44140625" style="156" customWidth="1"/>
    <col min="4344" max="4344" width="12.88671875" style="156" customWidth="1"/>
    <col min="4345" max="4345" width="4.44140625" style="156" customWidth="1"/>
    <col min="4346" max="4346" width="13.44140625" style="156" customWidth="1"/>
    <col min="4347" max="4347" width="3.109375" style="156" customWidth="1"/>
    <col min="4348" max="4348" width="0.88671875" style="156" customWidth="1"/>
    <col min="4349" max="4349" width="0" style="156" hidden="1" customWidth="1"/>
    <col min="4350" max="4350" width="4.44140625" style="156" customWidth="1"/>
    <col min="4351" max="4351" width="8" style="156" customWidth="1"/>
    <col min="4352" max="4352" width="17.44140625" style="156" customWidth="1"/>
    <col min="4353" max="4353" width="8" style="156" customWidth="1"/>
    <col min="4354" max="4356" width="18.6640625" style="156" customWidth="1"/>
    <col min="4357" max="4358" width="12.109375" style="156" customWidth="1"/>
    <col min="4359" max="4359" width="9.6640625" style="156" customWidth="1"/>
    <col min="4360" max="4361" width="8" style="156" customWidth="1"/>
    <col min="4362" max="4593" width="7" style="156"/>
    <col min="4594" max="4594" width="4.44140625" style="156" customWidth="1"/>
    <col min="4595" max="4595" width="2.88671875" style="156" customWidth="1"/>
    <col min="4596" max="4596" width="29.88671875" style="156" customWidth="1"/>
    <col min="4597" max="4597" width="4.44140625" style="156" customWidth="1"/>
    <col min="4598" max="4598" width="11.109375" style="156" customWidth="1"/>
    <col min="4599" max="4599" width="4.44140625" style="156" customWidth="1"/>
    <col min="4600" max="4600" width="12.88671875" style="156" customWidth="1"/>
    <col min="4601" max="4601" width="4.44140625" style="156" customWidth="1"/>
    <col min="4602" max="4602" width="13.44140625" style="156" customWidth="1"/>
    <col min="4603" max="4603" width="3.109375" style="156" customWidth="1"/>
    <col min="4604" max="4604" width="0.88671875" style="156" customWidth="1"/>
    <col min="4605" max="4605" width="0" style="156" hidden="1" customWidth="1"/>
    <col min="4606" max="4606" width="4.44140625" style="156" customWidth="1"/>
    <col min="4607" max="4607" width="8" style="156" customWidth="1"/>
    <col min="4608" max="4608" width="17.44140625" style="156" customWidth="1"/>
    <col min="4609" max="4609" width="8" style="156" customWidth="1"/>
    <col min="4610" max="4612" width="18.6640625" style="156" customWidth="1"/>
    <col min="4613" max="4614" width="12.109375" style="156" customWidth="1"/>
    <col min="4615" max="4615" width="9.6640625" style="156" customWidth="1"/>
    <col min="4616" max="4617" width="8" style="156" customWidth="1"/>
    <col min="4618" max="4849" width="7" style="156"/>
    <col min="4850" max="4850" width="4.44140625" style="156" customWidth="1"/>
    <col min="4851" max="4851" width="2.88671875" style="156" customWidth="1"/>
    <col min="4852" max="4852" width="29.88671875" style="156" customWidth="1"/>
    <col min="4853" max="4853" width="4.44140625" style="156" customWidth="1"/>
    <col min="4854" max="4854" width="11.109375" style="156" customWidth="1"/>
    <col min="4855" max="4855" width="4.44140625" style="156" customWidth="1"/>
    <col min="4856" max="4856" width="12.88671875" style="156" customWidth="1"/>
    <col min="4857" max="4857" width="4.44140625" style="156" customWidth="1"/>
    <col min="4858" max="4858" width="13.44140625" style="156" customWidth="1"/>
    <col min="4859" max="4859" width="3.109375" style="156" customWidth="1"/>
    <col min="4860" max="4860" width="0.88671875" style="156" customWidth="1"/>
    <col min="4861" max="4861" width="0" style="156" hidden="1" customWidth="1"/>
    <col min="4862" max="4862" width="4.44140625" style="156" customWidth="1"/>
    <col min="4863" max="4863" width="8" style="156" customWidth="1"/>
    <col min="4864" max="4864" width="17.44140625" style="156" customWidth="1"/>
    <col min="4865" max="4865" width="8" style="156" customWidth="1"/>
    <col min="4866" max="4868" width="18.6640625" style="156" customWidth="1"/>
    <col min="4869" max="4870" width="12.109375" style="156" customWidth="1"/>
    <col min="4871" max="4871" width="9.6640625" style="156" customWidth="1"/>
    <col min="4872" max="4873" width="8" style="156" customWidth="1"/>
    <col min="4874" max="5105" width="7" style="156"/>
    <col min="5106" max="5106" width="4.44140625" style="156" customWidth="1"/>
    <col min="5107" max="5107" width="2.88671875" style="156" customWidth="1"/>
    <col min="5108" max="5108" width="29.88671875" style="156" customWidth="1"/>
    <col min="5109" max="5109" width="4.44140625" style="156" customWidth="1"/>
    <col min="5110" max="5110" width="11.109375" style="156" customWidth="1"/>
    <col min="5111" max="5111" width="4.44140625" style="156" customWidth="1"/>
    <col min="5112" max="5112" width="12.88671875" style="156" customWidth="1"/>
    <col min="5113" max="5113" width="4.44140625" style="156" customWidth="1"/>
    <col min="5114" max="5114" width="13.44140625" style="156" customWidth="1"/>
    <col min="5115" max="5115" width="3.109375" style="156" customWidth="1"/>
    <col min="5116" max="5116" width="0.88671875" style="156" customWidth="1"/>
    <col min="5117" max="5117" width="0" style="156" hidden="1" customWidth="1"/>
    <col min="5118" max="5118" width="4.44140625" style="156" customWidth="1"/>
    <col min="5119" max="5119" width="8" style="156" customWidth="1"/>
    <col min="5120" max="5120" width="17.44140625" style="156" customWidth="1"/>
    <col min="5121" max="5121" width="8" style="156" customWidth="1"/>
    <col min="5122" max="5124" width="18.6640625" style="156" customWidth="1"/>
    <col min="5125" max="5126" width="12.109375" style="156" customWidth="1"/>
    <col min="5127" max="5127" width="9.6640625" style="156" customWidth="1"/>
    <col min="5128" max="5129" width="8" style="156" customWidth="1"/>
    <col min="5130" max="5361" width="7" style="156"/>
    <col min="5362" max="5362" width="4.44140625" style="156" customWidth="1"/>
    <col min="5363" max="5363" width="2.88671875" style="156" customWidth="1"/>
    <col min="5364" max="5364" width="29.88671875" style="156" customWidth="1"/>
    <col min="5365" max="5365" width="4.44140625" style="156" customWidth="1"/>
    <col min="5366" max="5366" width="11.109375" style="156" customWidth="1"/>
    <col min="5367" max="5367" width="4.44140625" style="156" customWidth="1"/>
    <col min="5368" max="5368" width="12.88671875" style="156" customWidth="1"/>
    <col min="5369" max="5369" width="4.44140625" style="156" customWidth="1"/>
    <col min="5370" max="5370" width="13.44140625" style="156" customWidth="1"/>
    <col min="5371" max="5371" width="3.109375" style="156" customWidth="1"/>
    <col min="5372" max="5372" width="0.88671875" style="156" customWidth="1"/>
    <col min="5373" max="5373" width="0" style="156" hidden="1" customWidth="1"/>
    <col min="5374" max="5374" width="4.44140625" style="156" customWidth="1"/>
    <col min="5375" max="5375" width="8" style="156" customWidth="1"/>
    <col min="5376" max="5376" width="17.44140625" style="156" customWidth="1"/>
    <col min="5377" max="5377" width="8" style="156" customWidth="1"/>
    <col min="5378" max="5380" width="18.6640625" style="156" customWidth="1"/>
    <col min="5381" max="5382" width="12.109375" style="156" customWidth="1"/>
    <col min="5383" max="5383" width="9.6640625" style="156" customWidth="1"/>
    <col min="5384" max="5385" width="8" style="156" customWidth="1"/>
    <col min="5386" max="5617" width="7" style="156"/>
    <col min="5618" max="5618" width="4.44140625" style="156" customWidth="1"/>
    <col min="5619" max="5619" width="2.88671875" style="156" customWidth="1"/>
    <col min="5620" max="5620" width="29.88671875" style="156" customWidth="1"/>
    <col min="5621" max="5621" width="4.44140625" style="156" customWidth="1"/>
    <col min="5622" max="5622" width="11.109375" style="156" customWidth="1"/>
    <col min="5623" max="5623" width="4.44140625" style="156" customWidth="1"/>
    <col min="5624" max="5624" width="12.88671875" style="156" customWidth="1"/>
    <col min="5625" max="5625" width="4.44140625" style="156" customWidth="1"/>
    <col min="5626" max="5626" width="13.44140625" style="156" customWidth="1"/>
    <col min="5627" max="5627" width="3.109375" style="156" customWidth="1"/>
    <col min="5628" max="5628" width="0.88671875" style="156" customWidth="1"/>
    <col min="5629" max="5629" width="0" style="156" hidden="1" customWidth="1"/>
    <col min="5630" max="5630" width="4.44140625" style="156" customWidth="1"/>
    <col min="5631" max="5631" width="8" style="156" customWidth="1"/>
    <col min="5632" max="5632" width="17.44140625" style="156" customWidth="1"/>
    <col min="5633" max="5633" width="8" style="156" customWidth="1"/>
    <col min="5634" max="5636" width="18.6640625" style="156" customWidth="1"/>
    <col min="5637" max="5638" width="12.109375" style="156" customWidth="1"/>
    <col min="5639" max="5639" width="9.6640625" style="156" customWidth="1"/>
    <col min="5640" max="5641" width="8" style="156" customWidth="1"/>
    <col min="5642" max="5873" width="7" style="156"/>
    <col min="5874" max="5874" width="4.44140625" style="156" customWidth="1"/>
    <col min="5875" max="5875" width="2.88671875" style="156" customWidth="1"/>
    <col min="5876" max="5876" width="29.88671875" style="156" customWidth="1"/>
    <col min="5877" max="5877" width="4.44140625" style="156" customWidth="1"/>
    <col min="5878" max="5878" width="11.109375" style="156" customWidth="1"/>
    <col min="5879" max="5879" width="4.44140625" style="156" customWidth="1"/>
    <col min="5880" max="5880" width="12.88671875" style="156" customWidth="1"/>
    <col min="5881" max="5881" width="4.44140625" style="156" customWidth="1"/>
    <col min="5882" max="5882" width="13.44140625" style="156" customWidth="1"/>
    <col min="5883" max="5883" width="3.109375" style="156" customWidth="1"/>
    <col min="5884" max="5884" width="0.88671875" style="156" customWidth="1"/>
    <col min="5885" max="5885" width="0" style="156" hidden="1" customWidth="1"/>
    <col min="5886" max="5886" width="4.44140625" style="156" customWidth="1"/>
    <col min="5887" max="5887" width="8" style="156" customWidth="1"/>
    <col min="5888" max="5888" width="17.44140625" style="156" customWidth="1"/>
    <col min="5889" max="5889" width="8" style="156" customWidth="1"/>
    <col min="5890" max="5892" width="18.6640625" style="156" customWidth="1"/>
    <col min="5893" max="5894" width="12.109375" style="156" customWidth="1"/>
    <col min="5895" max="5895" width="9.6640625" style="156" customWidth="1"/>
    <col min="5896" max="5897" width="8" style="156" customWidth="1"/>
    <col min="5898" max="6129" width="7" style="156"/>
    <col min="6130" max="6130" width="4.44140625" style="156" customWidth="1"/>
    <col min="6131" max="6131" width="2.88671875" style="156" customWidth="1"/>
    <col min="6132" max="6132" width="29.88671875" style="156" customWidth="1"/>
    <col min="6133" max="6133" width="4.44140625" style="156" customWidth="1"/>
    <col min="6134" max="6134" width="11.109375" style="156" customWidth="1"/>
    <col min="6135" max="6135" width="4.44140625" style="156" customWidth="1"/>
    <col min="6136" max="6136" width="12.88671875" style="156" customWidth="1"/>
    <col min="6137" max="6137" width="4.44140625" style="156" customWidth="1"/>
    <col min="6138" max="6138" width="13.44140625" style="156" customWidth="1"/>
    <col min="6139" max="6139" width="3.109375" style="156" customWidth="1"/>
    <col min="6140" max="6140" width="0.88671875" style="156" customWidth="1"/>
    <col min="6141" max="6141" width="0" style="156" hidden="1" customWidth="1"/>
    <col min="6142" max="6142" width="4.44140625" style="156" customWidth="1"/>
    <col min="6143" max="6143" width="8" style="156" customWidth="1"/>
    <col min="6144" max="6144" width="17.44140625" style="156" customWidth="1"/>
    <col min="6145" max="6145" width="8" style="156" customWidth="1"/>
    <col min="6146" max="6148" width="18.6640625" style="156" customWidth="1"/>
    <col min="6149" max="6150" width="12.109375" style="156" customWidth="1"/>
    <col min="6151" max="6151" width="9.6640625" style="156" customWidth="1"/>
    <col min="6152" max="6153" width="8" style="156" customWidth="1"/>
    <col min="6154" max="6385" width="7" style="156"/>
    <col min="6386" max="6386" width="4.44140625" style="156" customWidth="1"/>
    <col min="6387" max="6387" width="2.88671875" style="156" customWidth="1"/>
    <col min="6388" max="6388" width="29.88671875" style="156" customWidth="1"/>
    <col min="6389" max="6389" width="4.44140625" style="156" customWidth="1"/>
    <col min="6390" max="6390" width="11.109375" style="156" customWidth="1"/>
    <col min="6391" max="6391" width="4.44140625" style="156" customWidth="1"/>
    <col min="6392" max="6392" width="12.88671875" style="156" customWidth="1"/>
    <col min="6393" max="6393" width="4.44140625" style="156" customWidth="1"/>
    <col min="6394" max="6394" width="13.44140625" style="156" customWidth="1"/>
    <col min="6395" max="6395" width="3.109375" style="156" customWidth="1"/>
    <col min="6396" max="6396" width="0.88671875" style="156" customWidth="1"/>
    <col min="6397" max="6397" width="0" style="156" hidden="1" customWidth="1"/>
    <col min="6398" max="6398" width="4.44140625" style="156" customWidth="1"/>
    <col min="6399" max="6399" width="8" style="156" customWidth="1"/>
    <col min="6400" max="6400" width="17.44140625" style="156" customWidth="1"/>
    <col min="6401" max="6401" width="8" style="156" customWidth="1"/>
    <col min="6402" max="6404" width="18.6640625" style="156" customWidth="1"/>
    <col min="6405" max="6406" width="12.109375" style="156" customWidth="1"/>
    <col min="6407" max="6407" width="9.6640625" style="156" customWidth="1"/>
    <col min="6408" max="6409" width="8" style="156" customWidth="1"/>
    <col min="6410" max="6641" width="7" style="156"/>
    <col min="6642" max="6642" width="4.44140625" style="156" customWidth="1"/>
    <col min="6643" max="6643" width="2.88671875" style="156" customWidth="1"/>
    <col min="6644" max="6644" width="29.88671875" style="156" customWidth="1"/>
    <col min="6645" max="6645" width="4.44140625" style="156" customWidth="1"/>
    <col min="6646" max="6646" width="11.109375" style="156" customWidth="1"/>
    <col min="6647" max="6647" width="4.44140625" style="156" customWidth="1"/>
    <col min="6648" max="6648" width="12.88671875" style="156" customWidth="1"/>
    <col min="6649" max="6649" width="4.44140625" style="156" customWidth="1"/>
    <col min="6650" max="6650" width="13.44140625" style="156" customWidth="1"/>
    <col min="6651" max="6651" width="3.109375" style="156" customWidth="1"/>
    <col min="6652" max="6652" width="0.88671875" style="156" customWidth="1"/>
    <col min="6653" max="6653" width="0" style="156" hidden="1" customWidth="1"/>
    <col min="6654" max="6654" width="4.44140625" style="156" customWidth="1"/>
    <col min="6655" max="6655" width="8" style="156" customWidth="1"/>
    <col min="6656" max="6656" width="17.44140625" style="156" customWidth="1"/>
    <col min="6657" max="6657" width="8" style="156" customWidth="1"/>
    <col min="6658" max="6660" width="18.6640625" style="156" customWidth="1"/>
    <col min="6661" max="6662" width="12.109375" style="156" customWidth="1"/>
    <col min="6663" max="6663" width="9.6640625" style="156" customWidth="1"/>
    <col min="6664" max="6665" width="8" style="156" customWidth="1"/>
    <col min="6666" max="6897" width="7" style="156"/>
    <col min="6898" max="6898" width="4.44140625" style="156" customWidth="1"/>
    <col min="6899" max="6899" width="2.88671875" style="156" customWidth="1"/>
    <col min="6900" max="6900" width="29.88671875" style="156" customWidth="1"/>
    <col min="6901" max="6901" width="4.44140625" style="156" customWidth="1"/>
    <col min="6902" max="6902" width="11.109375" style="156" customWidth="1"/>
    <col min="6903" max="6903" width="4.44140625" style="156" customWidth="1"/>
    <col min="6904" max="6904" width="12.88671875" style="156" customWidth="1"/>
    <col min="6905" max="6905" width="4.44140625" style="156" customWidth="1"/>
    <col min="6906" max="6906" width="13.44140625" style="156" customWidth="1"/>
    <col min="6907" max="6907" width="3.109375" style="156" customWidth="1"/>
    <col min="6908" max="6908" width="0.88671875" style="156" customWidth="1"/>
    <col min="6909" max="6909" width="0" style="156" hidden="1" customWidth="1"/>
    <col min="6910" max="6910" width="4.44140625" style="156" customWidth="1"/>
    <col min="6911" max="6911" width="8" style="156" customWidth="1"/>
    <col min="6912" max="6912" width="17.44140625" style="156" customWidth="1"/>
    <col min="6913" max="6913" width="8" style="156" customWidth="1"/>
    <col min="6914" max="6916" width="18.6640625" style="156" customWidth="1"/>
    <col min="6917" max="6918" width="12.109375" style="156" customWidth="1"/>
    <col min="6919" max="6919" width="9.6640625" style="156" customWidth="1"/>
    <col min="6920" max="6921" width="8" style="156" customWidth="1"/>
    <col min="6922" max="7153" width="7" style="156"/>
    <col min="7154" max="7154" width="4.44140625" style="156" customWidth="1"/>
    <col min="7155" max="7155" width="2.88671875" style="156" customWidth="1"/>
    <col min="7156" max="7156" width="29.88671875" style="156" customWidth="1"/>
    <col min="7157" max="7157" width="4.44140625" style="156" customWidth="1"/>
    <col min="7158" max="7158" width="11.109375" style="156" customWidth="1"/>
    <col min="7159" max="7159" width="4.44140625" style="156" customWidth="1"/>
    <col min="7160" max="7160" width="12.88671875" style="156" customWidth="1"/>
    <col min="7161" max="7161" width="4.44140625" style="156" customWidth="1"/>
    <col min="7162" max="7162" width="13.44140625" style="156" customWidth="1"/>
    <col min="7163" max="7163" width="3.109375" style="156" customWidth="1"/>
    <col min="7164" max="7164" width="0.88671875" style="156" customWidth="1"/>
    <col min="7165" max="7165" width="0" style="156" hidden="1" customWidth="1"/>
    <col min="7166" max="7166" width="4.44140625" style="156" customWidth="1"/>
    <col min="7167" max="7167" width="8" style="156" customWidth="1"/>
    <col min="7168" max="7168" width="17.44140625" style="156" customWidth="1"/>
    <col min="7169" max="7169" width="8" style="156" customWidth="1"/>
    <col min="7170" max="7172" width="18.6640625" style="156" customWidth="1"/>
    <col min="7173" max="7174" width="12.109375" style="156" customWidth="1"/>
    <col min="7175" max="7175" width="9.6640625" style="156" customWidth="1"/>
    <col min="7176" max="7177" width="8" style="156" customWidth="1"/>
    <col min="7178" max="7409" width="7" style="156"/>
    <col min="7410" max="7410" width="4.44140625" style="156" customWidth="1"/>
    <col min="7411" max="7411" width="2.88671875" style="156" customWidth="1"/>
    <col min="7412" max="7412" width="29.88671875" style="156" customWidth="1"/>
    <col min="7413" max="7413" width="4.44140625" style="156" customWidth="1"/>
    <col min="7414" max="7414" width="11.109375" style="156" customWidth="1"/>
    <col min="7415" max="7415" width="4.44140625" style="156" customWidth="1"/>
    <col min="7416" max="7416" width="12.88671875" style="156" customWidth="1"/>
    <col min="7417" max="7417" width="4.44140625" style="156" customWidth="1"/>
    <col min="7418" max="7418" width="13.44140625" style="156" customWidth="1"/>
    <col min="7419" max="7419" width="3.109375" style="156" customWidth="1"/>
    <col min="7420" max="7420" width="0.88671875" style="156" customWidth="1"/>
    <col min="7421" max="7421" width="0" style="156" hidden="1" customWidth="1"/>
    <col min="7422" max="7422" width="4.44140625" style="156" customWidth="1"/>
    <col min="7423" max="7423" width="8" style="156" customWidth="1"/>
    <col min="7424" max="7424" width="17.44140625" style="156" customWidth="1"/>
    <col min="7425" max="7425" width="8" style="156" customWidth="1"/>
    <col min="7426" max="7428" width="18.6640625" style="156" customWidth="1"/>
    <col min="7429" max="7430" width="12.109375" style="156" customWidth="1"/>
    <col min="7431" max="7431" width="9.6640625" style="156" customWidth="1"/>
    <col min="7432" max="7433" width="8" style="156" customWidth="1"/>
    <col min="7434" max="7665" width="7" style="156"/>
    <col min="7666" max="7666" width="4.44140625" style="156" customWidth="1"/>
    <col min="7667" max="7667" width="2.88671875" style="156" customWidth="1"/>
    <col min="7668" max="7668" width="29.88671875" style="156" customWidth="1"/>
    <col min="7669" max="7669" width="4.44140625" style="156" customWidth="1"/>
    <col min="7670" max="7670" width="11.109375" style="156" customWidth="1"/>
    <col min="7671" max="7671" width="4.44140625" style="156" customWidth="1"/>
    <col min="7672" max="7672" width="12.88671875" style="156" customWidth="1"/>
    <col min="7673" max="7673" width="4.44140625" style="156" customWidth="1"/>
    <col min="7674" max="7674" width="13.44140625" style="156" customWidth="1"/>
    <col min="7675" max="7675" width="3.109375" style="156" customWidth="1"/>
    <col min="7676" max="7676" width="0.88671875" style="156" customWidth="1"/>
    <col min="7677" max="7677" width="0" style="156" hidden="1" customWidth="1"/>
    <col min="7678" max="7678" width="4.44140625" style="156" customWidth="1"/>
    <col min="7679" max="7679" width="8" style="156" customWidth="1"/>
    <col min="7680" max="7680" width="17.44140625" style="156" customWidth="1"/>
    <col min="7681" max="7681" width="8" style="156" customWidth="1"/>
    <col min="7682" max="7684" width="18.6640625" style="156" customWidth="1"/>
    <col min="7685" max="7686" width="12.109375" style="156" customWidth="1"/>
    <col min="7687" max="7687" width="9.6640625" style="156" customWidth="1"/>
    <col min="7688" max="7689" width="8" style="156" customWidth="1"/>
    <col min="7690" max="7921" width="7" style="156"/>
    <col min="7922" max="7922" width="4.44140625" style="156" customWidth="1"/>
    <col min="7923" max="7923" width="2.88671875" style="156" customWidth="1"/>
    <col min="7924" max="7924" width="29.88671875" style="156" customWidth="1"/>
    <col min="7925" max="7925" width="4.44140625" style="156" customWidth="1"/>
    <col min="7926" max="7926" width="11.109375" style="156" customWidth="1"/>
    <col min="7927" max="7927" width="4.44140625" style="156" customWidth="1"/>
    <col min="7928" max="7928" width="12.88671875" style="156" customWidth="1"/>
    <col min="7929" max="7929" width="4.44140625" style="156" customWidth="1"/>
    <col min="7930" max="7930" width="13.44140625" style="156" customWidth="1"/>
    <col min="7931" max="7931" width="3.109375" style="156" customWidth="1"/>
    <col min="7932" max="7932" width="0.88671875" style="156" customWidth="1"/>
    <col min="7933" max="7933" width="0" style="156" hidden="1" customWidth="1"/>
    <col min="7934" max="7934" width="4.44140625" style="156" customWidth="1"/>
    <col min="7935" max="7935" width="8" style="156" customWidth="1"/>
    <col min="7936" max="7936" width="17.44140625" style="156" customWidth="1"/>
    <col min="7937" max="7937" width="8" style="156" customWidth="1"/>
    <col min="7938" max="7940" width="18.6640625" style="156" customWidth="1"/>
    <col min="7941" max="7942" width="12.109375" style="156" customWidth="1"/>
    <col min="7943" max="7943" width="9.6640625" style="156" customWidth="1"/>
    <col min="7944" max="7945" width="8" style="156" customWidth="1"/>
    <col min="7946" max="8177" width="7" style="156"/>
    <col min="8178" max="8178" width="4.44140625" style="156" customWidth="1"/>
    <col min="8179" max="8179" width="2.88671875" style="156" customWidth="1"/>
    <col min="8180" max="8180" width="29.88671875" style="156" customWidth="1"/>
    <col min="8181" max="8181" width="4.44140625" style="156" customWidth="1"/>
    <col min="8182" max="8182" width="11.109375" style="156" customWidth="1"/>
    <col min="8183" max="8183" width="4.44140625" style="156" customWidth="1"/>
    <col min="8184" max="8184" width="12.88671875" style="156" customWidth="1"/>
    <col min="8185" max="8185" width="4.44140625" style="156" customWidth="1"/>
    <col min="8186" max="8186" width="13.44140625" style="156" customWidth="1"/>
    <col min="8187" max="8187" width="3.109375" style="156" customWidth="1"/>
    <col min="8188" max="8188" width="0.88671875" style="156" customWidth="1"/>
    <col min="8189" max="8189" width="0" style="156" hidden="1" customWidth="1"/>
    <col min="8190" max="8190" width="4.44140625" style="156" customWidth="1"/>
    <col min="8191" max="8191" width="8" style="156" customWidth="1"/>
    <col min="8192" max="8192" width="17.44140625" style="156" customWidth="1"/>
    <col min="8193" max="8193" width="8" style="156" customWidth="1"/>
    <col min="8194" max="8196" width="18.6640625" style="156" customWidth="1"/>
    <col min="8197" max="8198" width="12.109375" style="156" customWidth="1"/>
    <col min="8199" max="8199" width="9.6640625" style="156" customWidth="1"/>
    <col min="8200" max="8201" width="8" style="156" customWidth="1"/>
    <col min="8202" max="8433" width="7" style="156"/>
    <col min="8434" max="8434" width="4.44140625" style="156" customWidth="1"/>
    <col min="8435" max="8435" width="2.88671875" style="156" customWidth="1"/>
    <col min="8436" max="8436" width="29.88671875" style="156" customWidth="1"/>
    <col min="8437" max="8437" width="4.44140625" style="156" customWidth="1"/>
    <col min="8438" max="8438" width="11.109375" style="156" customWidth="1"/>
    <col min="8439" max="8439" width="4.44140625" style="156" customWidth="1"/>
    <col min="8440" max="8440" width="12.88671875" style="156" customWidth="1"/>
    <col min="8441" max="8441" width="4.44140625" style="156" customWidth="1"/>
    <col min="8442" max="8442" width="13.44140625" style="156" customWidth="1"/>
    <col min="8443" max="8443" width="3.109375" style="156" customWidth="1"/>
    <col min="8444" max="8444" width="0.88671875" style="156" customWidth="1"/>
    <col min="8445" max="8445" width="0" style="156" hidden="1" customWidth="1"/>
    <col min="8446" max="8446" width="4.44140625" style="156" customWidth="1"/>
    <col min="8447" max="8447" width="8" style="156" customWidth="1"/>
    <col min="8448" max="8448" width="17.44140625" style="156" customWidth="1"/>
    <col min="8449" max="8449" width="8" style="156" customWidth="1"/>
    <col min="8450" max="8452" width="18.6640625" style="156" customWidth="1"/>
    <col min="8453" max="8454" width="12.109375" style="156" customWidth="1"/>
    <col min="8455" max="8455" width="9.6640625" style="156" customWidth="1"/>
    <col min="8456" max="8457" width="8" style="156" customWidth="1"/>
    <col min="8458" max="8689" width="7" style="156"/>
    <col min="8690" max="8690" width="4.44140625" style="156" customWidth="1"/>
    <col min="8691" max="8691" width="2.88671875" style="156" customWidth="1"/>
    <col min="8692" max="8692" width="29.88671875" style="156" customWidth="1"/>
    <col min="8693" max="8693" width="4.44140625" style="156" customWidth="1"/>
    <col min="8694" max="8694" width="11.109375" style="156" customWidth="1"/>
    <col min="8695" max="8695" width="4.44140625" style="156" customWidth="1"/>
    <col min="8696" max="8696" width="12.88671875" style="156" customWidth="1"/>
    <col min="8697" max="8697" width="4.44140625" style="156" customWidth="1"/>
    <col min="8698" max="8698" width="13.44140625" style="156" customWidth="1"/>
    <col min="8699" max="8699" width="3.109375" style="156" customWidth="1"/>
    <col min="8700" max="8700" width="0.88671875" style="156" customWidth="1"/>
    <col min="8701" max="8701" width="0" style="156" hidden="1" customWidth="1"/>
    <col min="8702" max="8702" width="4.44140625" style="156" customWidth="1"/>
    <col min="8703" max="8703" width="8" style="156" customWidth="1"/>
    <col min="8704" max="8704" width="17.44140625" style="156" customWidth="1"/>
    <col min="8705" max="8705" width="8" style="156" customWidth="1"/>
    <col min="8706" max="8708" width="18.6640625" style="156" customWidth="1"/>
    <col min="8709" max="8710" width="12.109375" style="156" customWidth="1"/>
    <col min="8711" max="8711" width="9.6640625" style="156" customWidth="1"/>
    <col min="8712" max="8713" width="8" style="156" customWidth="1"/>
    <col min="8714" max="8945" width="7" style="156"/>
    <col min="8946" max="8946" width="4.44140625" style="156" customWidth="1"/>
    <col min="8947" max="8947" width="2.88671875" style="156" customWidth="1"/>
    <col min="8948" max="8948" width="29.88671875" style="156" customWidth="1"/>
    <col min="8949" max="8949" width="4.44140625" style="156" customWidth="1"/>
    <col min="8950" max="8950" width="11.109375" style="156" customWidth="1"/>
    <col min="8951" max="8951" width="4.44140625" style="156" customWidth="1"/>
    <col min="8952" max="8952" width="12.88671875" style="156" customWidth="1"/>
    <col min="8953" max="8953" width="4.44140625" style="156" customWidth="1"/>
    <col min="8954" max="8954" width="13.44140625" style="156" customWidth="1"/>
    <col min="8955" max="8955" width="3.109375" style="156" customWidth="1"/>
    <col min="8956" max="8956" width="0.88671875" style="156" customWidth="1"/>
    <col min="8957" max="8957" width="0" style="156" hidden="1" customWidth="1"/>
    <col min="8958" max="8958" width="4.44140625" style="156" customWidth="1"/>
    <col min="8959" max="8959" width="8" style="156" customWidth="1"/>
    <col min="8960" max="8960" width="17.44140625" style="156" customWidth="1"/>
    <col min="8961" max="8961" width="8" style="156" customWidth="1"/>
    <col min="8962" max="8964" width="18.6640625" style="156" customWidth="1"/>
    <col min="8965" max="8966" width="12.109375" style="156" customWidth="1"/>
    <col min="8967" max="8967" width="9.6640625" style="156" customWidth="1"/>
    <col min="8968" max="8969" width="8" style="156" customWidth="1"/>
    <col min="8970" max="9201" width="7" style="156"/>
    <col min="9202" max="9202" width="4.44140625" style="156" customWidth="1"/>
    <col min="9203" max="9203" width="2.88671875" style="156" customWidth="1"/>
    <col min="9204" max="9204" width="29.88671875" style="156" customWidth="1"/>
    <col min="9205" max="9205" width="4.44140625" style="156" customWidth="1"/>
    <col min="9206" max="9206" width="11.109375" style="156" customWidth="1"/>
    <col min="9207" max="9207" width="4.44140625" style="156" customWidth="1"/>
    <col min="9208" max="9208" width="12.88671875" style="156" customWidth="1"/>
    <col min="9209" max="9209" width="4.44140625" style="156" customWidth="1"/>
    <col min="9210" max="9210" width="13.44140625" style="156" customWidth="1"/>
    <col min="9211" max="9211" width="3.109375" style="156" customWidth="1"/>
    <col min="9212" max="9212" width="0.88671875" style="156" customWidth="1"/>
    <col min="9213" max="9213" width="0" style="156" hidden="1" customWidth="1"/>
    <col min="9214" max="9214" width="4.44140625" style="156" customWidth="1"/>
    <col min="9215" max="9215" width="8" style="156" customWidth="1"/>
    <col min="9216" max="9216" width="17.44140625" style="156" customWidth="1"/>
    <col min="9217" max="9217" width="8" style="156" customWidth="1"/>
    <col min="9218" max="9220" width="18.6640625" style="156" customWidth="1"/>
    <col min="9221" max="9222" width="12.109375" style="156" customWidth="1"/>
    <col min="9223" max="9223" width="9.6640625" style="156" customWidth="1"/>
    <col min="9224" max="9225" width="8" style="156" customWidth="1"/>
    <col min="9226" max="9457" width="7" style="156"/>
    <col min="9458" max="9458" width="4.44140625" style="156" customWidth="1"/>
    <col min="9459" max="9459" width="2.88671875" style="156" customWidth="1"/>
    <col min="9460" max="9460" width="29.88671875" style="156" customWidth="1"/>
    <col min="9461" max="9461" width="4.44140625" style="156" customWidth="1"/>
    <col min="9462" max="9462" width="11.109375" style="156" customWidth="1"/>
    <col min="9463" max="9463" width="4.44140625" style="156" customWidth="1"/>
    <col min="9464" max="9464" width="12.88671875" style="156" customWidth="1"/>
    <col min="9465" max="9465" width="4.44140625" style="156" customWidth="1"/>
    <col min="9466" max="9466" width="13.44140625" style="156" customWidth="1"/>
    <col min="9467" max="9467" width="3.109375" style="156" customWidth="1"/>
    <col min="9468" max="9468" width="0.88671875" style="156" customWidth="1"/>
    <col min="9469" max="9469" width="0" style="156" hidden="1" customWidth="1"/>
    <col min="9470" max="9470" width="4.44140625" style="156" customWidth="1"/>
    <col min="9471" max="9471" width="8" style="156" customWidth="1"/>
    <col min="9472" max="9472" width="17.44140625" style="156" customWidth="1"/>
    <col min="9473" max="9473" width="8" style="156" customWidth="1"/>
    <col min="9474" max="9476" width="18.6640625" style="156" customWidth="1"/>
    <col min="9477" max="9478" width="12.109375" style="156" customWidth="1"/>
    <col min="9479" max="9479" width="9.6640625" style="156" customWidth="1"/>
    <col min="9480" max="9481" width="8" style="156" customWidth="1"/>
    <col min="9482" max="9713" width="7" style="156"/>
    <col min="9714" max="9714" width="4.44140625" style="156" customWidth="1"/>
    <col min="9715" max="9715" width="2.88671875" style="156" customWidth="1"/>
    <col min="9716" max="9716" width="29.88671875" style="156" customWidth="1"/>
    <col min="9717" max="9717" width="4.44140625" style="156" customWidth="1"/>
    <col min="9718" max="9718" width="11.109375" style="156" customWidth="1"/>
    <col min="9719" max="9719" width="4.44140625" style="156" customWidth="1"/>
    <col min="9720" max="9720" width="12.88671875" style="156" customWidth="1"/>
    <col min="9721" max="9721" width="4.44140625" style="156" customWidth="1"/>
    <col min="9722" max="9722" width="13.44140625" style="156" customWidth="1"/>
    <col min="9723" max="9723" width="3.109375" style="156" customWidth="1"/>
    <col min="9724" max="9724" width="0.88671875" style="156" customWidth="1"/>
    <col min="9725" max="9725" width="0" style="156" hidden="1" customWidth="1"/>
    <col min="9726" max="9726" width="4.44140625" style="156" customWidth="1"/>
    <col min="9727" max="9727" width="8" style="156" customWidth="1"/>
    <col min="9728" max="9728" width="17.44140625" style="156" customWidth="1"/>
    <col min="9729" max="9729" width="8" style="156" customWidth="1"/>
    <col min="9730" max="9732" width="18.6640625" style="156" customWidth="1"/>
    <col min="9733" max="9734" width="12.109375" style="156" customWidth="1"/>
    <col min="9735" max="9735" width="9.6640625" style="156" customWidth="1"/>
    <col min="9736" max="9737" width="8" style="156" customWidth="1"/>
    <col min="9738" max="9969" width="7" style="156"/>
    <col min="9970" max="9970" width="4.44140625" style="156" customWidth="1"/>
    <col min="9971" max="9971" width="2.88671875" style="156" customWidth="1"/>
    <col min="9972" max="9972" width="29.88671875" style="156" customWidth="1"/>
    <col min="9973" max="9973" width="4.44140625" style="156" customWidth="1"/>
    <col min="9974" max="9974" width="11.109375" style="156" customWidth="1"/>
    <col min="9975" max="9975" width="4.44140625" style="156" customWidth="1"/>
    <col min="9976" max="9976" width="12.88671875" style="156" customWidth="1"/>
    <col min="9977" max="9977" width="4.44140625" style="156" customWidth="1"/>
    <col min="9978" max="9978" width="13.44140625" style="156" customWidth="1"/>
    <col min="9979" max="9979" width="3.109375" style="156" customWidth="1"/>
    <col min="9980" max="9980" width="0.88671875" style="156" customWidth="1"/>
    <col min="9981" max="9981" width="0" style="156" hidden="1" customWidth="1"/>
    <col min="9982" max="9982" width="4.44140625" style="156" customWidth="1"/>
    <col min="9983" max="9983" width="8" style="156" customWidth="1"/>
    <col min="9984" max="9984" width="17.44140625" style="156" customWidth="1"/>
    <col min="9985" max="9985" width="8" style="156" customWidth="1"/>
    <col min="9986" max="9988" width="18.6640625" style="156" customWidth="1"/>
    <col min="9989" max="9990" width="12.109375" style="156" customWidth="1"/>
    <col min="9991" max="9991" width="9.6640625" style="156" customWidth="1"/>
    <col min="9992" max="9993" width="8" style="156" customWidth="1"/>
    <col min="9994" max="10225" width="7" style="156"/>
    <col min="10226" max="10226" width="4.44140625" style="156" customWidth="1"/>
    <col min="10227" max="10227" width="2.88671875" style="156" customWidth="1"/>
    <col min="10228" max="10228" width="29.88671875" style="156" customWidth="1"/>
    <col min="10229" max="10229" width="4.44140625" style="156" customWidth="1"/>
    <col min="10230" max="10230" width="11.109375" style="156" customWidth="1"/>
    <col min="10231" max="10231" width="4.44140625" style="156" customWidth="1"/>
    <col min="10232" max="10232" width="12.88671875" style="156" customWidth="1"/>
    <col min="10233" max="10233" width="4.44140625" style="156" customWidth="1"/>
    <col min="10234" max="10234" width="13.44140625" style="156" customWidth="1"/>
    <col min="10235" max="10235" width="3.109375" style="156" customWidth="1"/>
    <col min="10236" max="10236" width="0.88671875" style="156" customWidth="1"/>
    <col min="10237" max="10237" width="0" style="156" hidden="1" customWidth="1"/>
    <col min="10238" max="10238" width="4.44140625" style="156" customWidth="1"/>
    <col min="10239" max="10239" width="8" style="156" customWidth="1"/>
    <col min="10240" max="10240" width="17.44140625" style="156" customWidth="1"/>
    <col min="10241" max="10241" width="8" style="156" customWidth="1"/>
    <col min="10242" max="10244" width="18.6640625" style="156" customWidth="1"/>
    <col min="10245" max="10246" width="12.109375" style="156" customWidth="1"/>
    <col min="10247" max="10247" width="9.6640625" style="156" customWidth="1"/>
    <col min="10248" max="10249" width="8" style="156" customWidth="1"/>
    <col min="10250" max="10481" width="7" style="156"/>
    <col min="10482" max="10482" width="4.44140625" style="156" customWidth="1"/>
    <col min="10483" max="10483" width="2.88671875" style="156" customWidth="1"/>
    <col min="10484" max="10484" width="29.88671875" style="156" customWidth="1"/>
    <col min="10485" max="10485" width="4.44140625" style="156" customWidth="1"/>
    <col min="10486" max="10486" width="11.109375" style="156" customWidth="1"/>
    <col min="10487" max="10487" width="4.44140625" style="156" customWidth="1"/>
    <col min="10488" max="10488" width="12.88671875" style="156" customWidth="1"/>
    <col min="10489" max="10489" width="4.44140625" style="156" customWidth="1"/>
    <col min="10490" max="10490" width="13.44140625" style="156" customWidth="1"/>
    <col min="10491" max="10491" width="3.109375" style="156" customWidth="1"/>
    <col min="10492" max="10492" width="0.88671875" style="156" customWidth="1"/>
    <col min="10493" max="10493" width="0" style="156" hidden="1" customWidth="1"/>
    <col min="10494" max="10494" width="4.44140625" style="156" customWidth="1"/>
    <col min="10495" max="10495" width="8" style="156" customWidth="1"/>
    <col min="10496" max="10496" width="17.44140625" style="156" customWidth="1"/>
    <col min="10497" max="10497" width="8" style="156" customWidth="1"/>
    <col min="10498" max="10500" width="18.6640625" style="156" customWidth="1"/>
    <col min="10501" max="10502" width="12.109375" style="156" customWidth="1"/>
    <col min="10503" max="10503" width="9.6640625" style="156" customWidth="1"/>
    <col min="10504" max="10505" width="8" style="156" customWidth="1"/>
    <col min="10506" max="10737" width="7" style="156"/>
    <col min="10738" max="10738" width="4.44140625" style="156" customWidth="1"/>
    <col min="10739" max="10739" width="2.88671875" style="156" customWidth="1"/>
    <col min="10740" max="10740" width="29.88671875" style="156" customWidth="1"/>
    <col min="10741" max="10741" width="4.44140625" style="156" customWidth="1"/>
    <col min="10742" max="10742" width="11.109375" style="156" customWidth="1"/>
    <col min="10743" max="10743" width="4.44140625" style="156" customWidth="1"/>
    <col min="10744" max="10744" width="12.88671875" style="156" customWidth="1"/>
    <col min="10745" max="10745" width="4.44140625" style="156" customWidth="1"/>
    <col min="10746" max="10746" width="13.44140625" style="156" customWidth="1"/>
    <col min="10747" max="10747" width="3.109375" style="156" customWidth="1"/>
    <col min="10748" max="10748" width="0.88671875" style="156" customWidth="1"/>
    <col min="10749" max="10749" width="0" style="156" hidden="1" customWidth="1"/>
    <col min="10750" max="10750" width="4.44140625" style="156" customWidth="1"/>
    <col min="10751" max="10751" width="8" style="156" customWidth="1"/>
    <col min="10752" max="10752" width="17.44140625" style="156" customWidth="1"/>
    <col min="10753" max="10753" width="8" style="156" customWidth="1"/>
    <col min="10754" max="10756" width="18.6640625" style="156" customWidth="1"/>
    <col min="10757" max="10758" width="12.109375" style="156" customWidth="1"/>
    <col min="10759" max="10759" width="9.6640625" style="156" customWidth="1"/>
    <col min="10760" max="10761" width="8" style="156" customWidth="1"/>
    <col min="10762" max="10993" width="7" style="156"/>
    <col min="10994" max="10994" width="4.44140625" style="156" customWidth="1"/>
    <col min="10995" max="10995" width="2.88671875" style="156" customWidth="1"/>
    <col min="10996" max="10996" width="29.88671875" style="156" customWidth="1"/>
    <col min="10997" max="10997" width="4.44140625" style="156" customWidth="1"/>
    <col min="10998" max="10998" width="11.109375" style="156" customWidth="1"/>
    <col min="10999" max="10999" width="4.44140625" style="156" customWidth="1"/>
    <col min="11000" max="11000" width="12.88671875" style="156" customWidth="1"/>
    <col min="11001" max="11001" width="4.44140625" style="156" customWidth="1"/>
    <col min="11002" max="11002" width="13.44140625" style="156" customWidth="1"/>
    <col min="11003" max="11003" width="3.109375" style="156" customWidth="1"/>
    <col min="11004" max="11004" width="0.88671875" style="156" customWidth="1"/>
    <col min="11005" max="11005" width="0" style="156" hidden="1" customWidth="1"/>
    <col min="11006" max="11006" width="4.44140625" style="156" customWidth="1"/>
    <col min="11007" max="11007" width="8" style="156" customWidth="1"/>
    <col min="11008" max="11008" width="17.44140625" style="156" customWidth="1"/>
    <col min="11009" max="11009" width="8" style="156" customWidth="1"/>
    <col min="11010" max="11012" width="18.6640625" style="156" customWidth="1"/>
    <col min="11013" max="11014" width="12.109375" style="156" customWidth="1"/>
    <col min="11015" max="11015" width="9.6640625" style="156" customWidth="1"/>
    <col min="11016" max="11017" width="8" style="156" customWidth="1"/>
    <col min="11018" max="11249" width="7" style="156"/>
    <col min="11250" max="11250" width="4.44140625" style="156" customWidth="1"/>
    <col min="11251" max="11251" width="2.88671875" style="156" customWidth="1"/>
    <col min="11252" max="11252" width="29.88671875" style="156" customWidth="1"/>
    <col min="11253" max="11253" width="4.44140625" style="156" customWidth="1"/>
    <col min="11254" max="11254" width="11.109375" style="156" customWidth="1"/>
    <col min="11255" max="11255" width="4.44140625" style="156" customWidth="1"/>
    <col min="11256" max="11256" width="12.88671875" style="156" customWidth="1"/>
    <col min="11257" max="11257" width="4.44140625" style="156" customWidth="1"/>
    <col min="11258" max="11258" width="13.44140625" style="156" customWidth="1"/>
    <col min="11259" max="11259" width="3.109375" style="156" customWidth="1"/>
    <col min="11260" max="11260" width="0.88671875" style="156" customWidth="1"/>
    <col min="11261" max="11261" width="0" style="156" hidden="1" customWidth="1"/>
    <col min="11262" max="11262" width="4.44140625" style="156" customWidth="1"/>
    <col min="11263" max="11263" width="8" style="156" customWidth="1"/>
    <col min="11264" max="11264" width="17.44140625" style="156" customWidth="1"/>
    <col min="11265" max="11265" width="8" style="156" customWidth="1"/>
    <col min="11266" max="11268" width="18.6640625" style="156" customWidth="1"/>
    <col min="11269" max="11270" width="12.109375" style="156" customWidth="1"/>
    <col min="11271" max="11271" width="9.6640625" style="156" customWidth="1"/>
    <col min="11272" max="11273" width="8" style="156" customWidth="1"/>
    <col min="11274" max="11505" width="7" style="156"/>
    <col min="11506" max="11506" width="4.44140625" style="156" customWidth="1"/>
    <col min="11507" max="11507" width="2.88671875" style="156" customWidth="1"/>
    <col min="11508" max="11508" width="29.88671875" style="156" customWidth="1"/>
    <col min="11509" max="11509" width="4.44140625" style="156" customWidth="1"/>
    <col min="11510" max="11510" width="11.109375" style="156" customWidth="1"/>
    <col min="11511" max="11511" width="4.44140625" style="156" customWidth="1"/>
    <col min="11512" max="11512" width="12.88671875" style="156" customWidth="1"/>
    <col min="11513" max="11513" width="4.44140625" style="156" customWidth="1"/>
    <col min="11514" max="11514" width="13.44140625" style="156" customWidth="1"/>
    <col min="11515" max="11515" width="3.109375" style="156" customWidth="1"/>
    <col min="11516" max="11516" width="0.88671875" style="156" customWidth="1"/>
    <col min="11517" max="11517" width="0" style="156" hidden="1" customWidth="1"/>
    <col min="11518" max="11518" width="4.44140625" style="156" customWidth="1"/>
    <col min="11519" max="11519" width="8" style="156" customWidth="1"/>
    <col min="11520" max="11520" width="17.44140625" style="156" customWidth="1"/>
    <col min="11521" max="11521" width="8" style="156" customWidth="1"/>
    <col min="11522" max="11524" width="18.6640625" style="156" customWidth="1"/>
    <col min="11525" max="11526" width="12.109375" style="156" customWidth="1"/>
    <col min="11527" max="11527" width="9.6640625" style="156" customWidth="1"/>
    <col min="11528" max="11529" width="8" style="156" customWidth="1"/>
    <col min="11530" max="11761" width="7" style="156"/>
    <col min="11762" max="11762" width="4.44140625" style="156" customWidth="1"/>
    <col min="11763" max="11763" width="2.88671875" style="156" customWidth="1"/>
    <col min="11764" max="11764" width="29.88671875" style="156" customWidth="1"/>
    <col min="11765" max="11765" width="4.44140625" style="156" customWidth="1"/>
    <col min="11766" max="11766" width="11.109375" style="156" customWidth="1"/>
    <col min="11767" max="11767" width="4.44140625" style="156" customWidth="1"/>
    <col min="11768" max="11768" width="12.88671875" style="156" customWidth="1"/>
    <col min="11769" max="11769" width="4.44140625" style="156" customWidth="1"/>
    <col min="11770" max="11770" width="13.44140625" style="156" customWidth="1"/>
    <col min="11771" max="11771" width="3.109375" style="156" customWidth="1"/>
    <col min="11772" max="11772" width="0.88671875" style="156" customWidth="1"/>
    <col min="11773" max="11773" width="0" style="156" hidden="1" customWidth="1"/>
    <col min="11774" max="11774" width="4.44140625" style="156" customWidth="1"/>
    <col min="11775" max="11775" width="8" style="156" customWidth="1"/>
    <col min="11776" max="11776" width="17.44140625" style="156" customWidth="1"/>
    <col min="11777" max="11777" width="8" style="156" customWidth="1"/>
    <col min="11778" max="11780" width="18.6640625" style="156" customWidth="1"/>
    <col min="11781" max="11782" width="12.109375" style="156" customWidth="1"/>
    <col min="11783" max="11783" width="9.6640625" style="156" customWidth="1"/>
    <col min="11784" max="11785" width="8" style="156" customWidth="1"/>
    <col min="11786" max="12017" width="7" style="156"/>
    <col min="12018" max="12018" width="4.44140625" style="156" customWidth="1"/>
    <col min="12019" max="12019" width="2.88671875" style="156" customWidth="1"/>
    <col min="12020" max="12020" width="29.88671875" style="156" customWidth="1"/>
    <col min="12021" max="12021" width="4.44140625" style="156" customWidth="1"/>
    <col min="12022" max="12022" width="11.109375" style="156" customWidth="1"/>
    <col min="12023" max="12023" width="4.44140625" style="156" customWidth="1"/>
    <col min="12024" max="12024" width="12.88671875" style="156" customWidth="1"/>
    <col min="12025" max="12025" width="4.44140625" style="156" customWidth="1"/>
    <col min="12026" max="12026" width="13.44140625" style="156" customWidth="1"/>
    <col min="12027" max="12027" width="3.109375" style="156" customWidth="1"/>
    <col min="12028" max="12028" width="0.88671875" style="156" customWidth="1"/>
    <col min="12029" max="12029" width="0" style="156" hidden="1" customWidth="1"/>
    <col min="12030" max="12030" width="4.44140625" style="156" customWidth="1"/>
    <col min="12031" max="12031" width="8" style="156" customWidth="1"/>
    <col min="12032" max="12032" width="17.44140625" style="156" customWidth="1"/>
    <col min="12033" max="12033" width="8" style="156" customWidth="1"/>
    <col min="12034" max="12036" width="18.6640625" style="156" customWidth="1"/>
    <col min="12037" max="12038" width="12.109375" style="156" customWidth="1"/>
    <col min="12039" max="12039" width="9.6640625" style="156" customWidth="1"/>
    <col min="12040" max="12041" width="8" style="156" customWidth="1"/>
    <col min="12042" max="12273" width="7" style="156"/>
    <col min="12274" max="12274" width="4.44140625" style="156" customWidth="1"/>
    <col min="12275" max="12275" width="2.88671875" style="156" customWidth="1"/>
    <col min="12276" max="12276" width="29.88671875" style="156" customWidth="1"/>
    <col min="12277" max="12277" width="4.44140625" style="156" customWidth="1"/>
    <col min="12278" max="12278" width="11.109375" style="156" customWidth="1"/>
    <col min="12279" max="12279" width="4.44140625" style="156" customWidth="1"/>
    <col min="12280" max="12280" width="12.88671875" style="156" customWidth="1"/>
    <col min="12281" max="12281" width="4.44140625" style="156" customWidth="1"/>
    <col min="12282" max="12282" width="13.44140625" style="156" customWidth="1"/>
    <col min="12283" max="12283" width="3.109375" style="156" customWidth="1"/>
    <col min="12284" max="12284" width="0.88671875" style="156" customWidth="1"/>
    <col min="12285" max="12285" width="0" style="156" hidden="1" customWidth="1"/>
    <col min="12286" max="12286" width="4.44140625" style="156" customWidth="1"/>
    <col min="12287" max="12287" width="8" style="156" customWidth="1"/>
    <col min="12288" max="12288" width="17.44140625" style="156" customWidth="1"/>
    <col min="12289" max="12289" width="8" style="156" customWidth="1"/>
    <col min="12290" max="12292" width="18.6640625" style="156" customWidth="1"/>
    <col min="12293" max="12294" width="12.109375" style="156" customWidth="1"/>
    <col min="12295" max="12295" width="9.6640625" style="156" customWidth="1"/>
    <col min="12296" max="12297" width="8" style="156" customWidth="1"/>
    <col min="12298" max="12529" width="7" style="156"/>
    <col min="12530" max="12530" width="4.44140625" style="156" customWidth="1"/>
    <col min="12531" max="12531" width="2.88671875" style="156" customWidth="1"/>
    <col min="12532" max="12532" width="29.88671875" style="156" customWidth="1"/>
    <col min="12533" max="12533" width="4.44140625" style="156" customWidth="1"/>
    <col min="12534" max="12534" width="11.109375" style="156" customWidth="1"/>
    <col min="12535" max="12535" width="4.44140625" style="156" customWidth="1"/>
    <col min="12536" max="12536" width="12.88671875" style="156" customWidth="1"/>
    <col min="12537" max="12537" width="4.44140625" style="156" customWidth="1"/>
    <col min="12538" max="12538" width="13.44140625" style="156" customWidth="1"/>
    <col min="12539" max="12539" width="3.109375" style="156" customWidth="1"/>
    <col min="12540" max="12540" width="0.88671875" style="156" customWidth="1"/>
    <col min="12541" max="12541" width="0" style="156" hidden="1" customWidth="1"/>
    <col min="12542" max="12542" width="4.44140625" style="156" customWidth="1"/>
    <col min="12543" max="12543" width="8" style="156" customWidth="1"/>
    <col min="12544" max="12544" width="17.44140625" style="156" customWidth="1"/>
    <col min="12545" max="12545" width="8" style="156" customWidth="1"/>
    <col min="12546" max="12548" width="18.6640625" style="156" customWidth="1"/>
    <col min="12549" max="12550" width="12.109375" style="156" customWidth="1"/>
    <col min="12551" max="12551" width="9.6640625" style="156" customWidth="1"/>
    <col min="12552" max="12553" width="8" style="156" customWidth="1"/>
    <col min="12554" max="12785" width="7" style="156"/>
    <col min="12786" max="12786" width="4.44140625" style="156" customWidth="1"/>
    <col min="12787" max="12787" width="2.88671875" style="156" customWidth="1"/>
    <col min="12788" max="12788" width="29.88671875" style="156" customWidth="1"/>
    <col min="12789" max="12789" width="4.44140625" style="156" customWidth="1"/>
    <col min="12790" max="12790" width="11.109375" style="156" customWidth="1"/>
    <col min="12791" max="12791" width="4.44140625" style="156" customWidth="1"/>
    <col min="12792" max="12792" width="12.88671875" style="156" customWidth="1"/>
    <col min="12793" max="12793" width="4.44140625" style="156" customWidth="1"/>
    <col min="12794" max="12794" width="13.44140625" style="156" customWidth="1"/>
    <col min="12795" max="12795" width="3.109375" style="156" customWidth="1"/>
    <col min="12796" max="12796" width="0.88671875" style="156" customWidth="1"/>
    <col min="12797" max="12797" width="0" style="156" hidden="1" customWidth="1"/>
    <col min="12798" max="12798" width="4.44140625" style="156" customWidth="1"/>
    <col min="12799" max="12799" width="8" style="156" customWidth="1"/>
    <col min="12800" max="12800" width="17.44140625" style="156" customWidth="1"/>
    <col min="12801" max="12801" width="8" style="156" customWidth="1"/>
    <col min="12802" max="12804" width="18.6640625" style="156" customWidth="1"/>
    <col min="12805" max="12806" width="12.109375" style="156" customWidth="1"/>
    <col min="12807" max="12807" width="9.6640625" style="156" customWidth="1"/>
    <col min="12808" max="12809" width="8" style="156" customWidth="1"/>
    <col min="12810" max="13041" width="7" style="156"/>
    <col min="13042" max="13042" width="4.44140625" style="156" customWidth="1"/>
    <col min="13043" max="13043" width="2.88671875" style="156" customWidth="1"/>
    <col min="13044" max="13044" width="29.88671875" style="156" customWidth="1"/>
    <col min="13045" max="13045" width="4.44140625" style="156" customWidth="1"/>
    <col min="13046" max="13046" width="11.109375" style="156" customWidth="1"/>
    <col min="13047" max="13047" width="4.44140625" style="156" customWidth="1"/>
    <col min="13048" max="13048" width="12.88671875" style="156" customWidth="1"/>
    <col min="13049" max="13049" width="4.44140625" style="156" customWidth="1"/>
    <col min="13050" max="13050" width="13.44140625" style="156" customWidth="1"/>
    <col min="13051" max="13051" width="3.109375" style="156" customWidth="1"/>
    <col min="13052" max="13052" width="0.88671875" style="156" customWidth="1"/>
    <col min="13053" max="13053" width="0" style="156" hidden="1" customWidth="1"/>
    <col min="13054" max="13054" width="4.44140625" style="156" customWidth="1"/>
    <col min="13055" max="13055" width="8" style="156" customWidth="1"/>
    <col min="13056" max="13056" width="17.44140625" style="156" customWidth="1"/>
    <col min="13057" max="13057" width="8" style="156" customWidth="1"/>
    <col min="13058" max="13060" width="18.6640625" style="156" customWidth="1"/>
    <col min="13061" max="13062" width="12.109375" style="156" customWidth="1"/>
    <col min="13063" max="13063" width="9.6640625" style="156" customWidth="1"/>
    <col min="13064" max="13065" width="8" style="156" customWidth="1"/>
    <col min="13066" max="13297" width="7" style="156"/>
    <col min="13298" max="13298" width="4.44140625" style="156" customWidth="1"/>
    <col min="13299" max="13299" width="2.88671875" style="156" customWidth="1"/>
    <col min="13300" max="13300" width="29.88671875" style="156" customWidth="1"/>
    <col min="13301" max="13301" width="4.44140625" style="156" customWidth="1"/>
    <col min="13302" max="13302" width="11.109375" style="156" customWidth="1"/>
    <col min="13303" max="13303" width="4.44140625" style="156" customWidth="1"/>
    <col min="13304" max="13304" width="12.88671875" style="156" customWidth="1"/>
    <col min="13305" max="13305" width="4.44140625" style="156" customWidth="1"/>
    <col min="13306" max="13306" width="13.44140625" style="156" customWidth="1"/>
    <col min="13307" max="13307" width="3.109375" style="156" customWidth="1"/>
    <col min="13308" max="13308" width="0.88671875" style="156" customWidth="1"/>
    <col min="13309" max="13309" width="0" style="156" hidden="1" customWidth="1"/>
    <col min="13310" max="13310" width="4.44140625" style="156" customWidth="1"/>
    <col min="13311" max="13311" width="8" style="156" customWidth="1"/>
    <col min="13312" max="13312" width="17.44140625" style="156" customWidth="1"/>
    <col min="13313" max="13313" width="8" style="156" customWidth="1"/>
    <col min="13314" max="13316" width="18.6640625" style="156" customWidth="1"/>
    <col min="13317" max="13318" width="12.109375" style="156" customWidth="1"/>
    <col min="13319" max="13319" width="9.6640625" style="156" customWidth="1"/>
    <col min="13320" max="13321" width="8" style="156" customWidth="1"/>
    <col min="13322" max="13553" width="7" style="156"/>
    <col min="13554" max="13554" width="4.44140625" style="156" customWidth="1"/>
    <col min="13555" max="13555" width="2.88671875" style="156" customWidth="1"/>
    <col min="13556" max="13556" width="29.88671875" style="156" customWidth="1"/>
    <col min="13557" max="13557" width="4.44140625" style="156" customWidth="1"/>
    <col min="13558" max="13558" width="11.109375" style="156" customWidth="1"/>
    <col min="13559" max="13559" width="4.44140625" style="156" customWidth="1"/>
    <col min="13560" max="13560" width="12.88671875" style="156" customWidth="1"/>
    <col min="13561" max="13561" width="4.44140625" style="156" customWidth="1"/>
    <col min="13562" max="13562" width="13.44140625" style="156" customWidth="1"/>
    <col min="13563" max="13563" width="3.109375" style="156" customWidth="1"/>
    <col min="13564" max="13564" width="0.88671875" style="156" customWidth="1"/>
    <col min="13565" max="13565" width="0" style="156" hidden="1" customWidth="1"/>
    <col min="13566" max="13566" width="4.44140625" style="156" customWidth="1"/>
    <col min="13567" max="13567" width="8" style="156" customWidth="1"/>
    <col min="13568" max="13568" width="17.44140625" style="156" customWidth="1"/>
    <col min="13569" max="13569" width="8" style="156" customWidth="1"/>
    <col min="13570" max="13572" width="18.6640625" style="156" customWidth="1"/>
    <col min="13573" max="13574" width="12.109375" style="156" customWidth="1"/>
    <col min="13575" max="13575" width="9.6640625" style="156" customWidth="1"/>
    <col min="13576" max="13577" width="8" style="156" customWidth="1"/>
    <col min="13578" max="13809" width="7" style="156"/>
    <col min="13810" max="13810" width="4.44140625" style="156" customWidth="1"/>
    <col min="13811" max="13811" width="2.88671875" style="156" customWidth="1"/>
    <col min="13812" max="13812" width="29.88671875" style="156" customWidth="1"/>
    <col min="13813" max="13813" width="4.44140625" style="156" customWidth="1"/>
    <col min="13814" max="13814" width="11.109375" style="156" customWidth="1"/>
    <col min="13815" max="13815" width="4.44140625" style="156" customWidth="1"/>
    <col min="13816" max="13816" width="12.88671875" style="156" customWidth="1"/>
    <col min="13817" max="13817" width="4.44140625" style="156" customWidth="1"/>
    <col min="13818" max="13818" width="13.44140625" style="156" customWidth="1"/>
    <col min="13819" max="13819" width="3.109375" style="156" customWidth="1"/>
    <col min="13820" max="13820" width="0.88671875" style="156" customWidth="1"/>
    <col min="13821" max="13821" width="0" style="156" hidden="1" customWidth="1"/>
    <col min="13822" max="13822" width="4.44140625" style="156" customWidth="1"/>
    <col min="13823" max="13823" width="8" style="156" customWidth="1"/>
    <col min="13824" max="13824" width="17.44140625" style="156" customWidth="1"/>
    <col min="13825" max="13825" width="8" style="156" customWidth="1"/>
    <col min="13826" max="13828" width="18.6640625" style="156" customWidth="1"/>
    <col min="13829" max="13830" width="12.109375" style="156" customWidth="1"/>
    <col min="13831" max="13831" width="9.6640625" style="156" customWidth="1"/>
    <col min="13832" max="13833" width="8" style="156" customWidth="1"/>
    <col min="13834" max="14065" width="7" style="156"/>
    <col min="14066" max="14066" width="4.44140625" style="156" customWidth="1"/>
    <col min="14067" max="14067" width="2.88671875" style="156" customWidth="1"/>
    <col min="14068" max="14068" width="29.88671875" style="156" customWidth="1"/>
    <col min="14069" max="14069" width="4.44140625" style="156" customWidth="1"/>
    <col min="14070" max="14070" width="11.109375" style="156" customWidth="1"/>
    <col min="14071" max="14071" width="4.44140625" style="156" customWidth="1"/>
    <col min="14072" max="14072" width="12.88671875" style="156" customWidth="1"/>
    <col min="14073" max="14073" width="4.44140625" style="156" customWidth="1"/>
    <col min="14074" max="14074" width="13.44140625" style="156" customWidth="1"/>
    <col min="14075" max="14075" width="3.109375" style="156" customWidth="1"/>
    <col min="14076" max="14076" width="0.88671875" style="156" customWidth="1"/>
    <col min="14077" max="14077" width="0" style="156" hidden="1" customWidth="1"/>
    <col min="14078" max="14078" width="4.44140625" style="156" customWidth="1"/>
    <col min="14079" max="14079" width="8" style="156" customWidth="1"/>
    <col min="14080" max="14080" width="17.44140625" style="156" customWidth="1"/>
    <col min="14081" max="14081" width="8" style="156" customWidth="1"/>
    <col min="14082" max="14084" width="18.6640625" style="156" customWidth="1"/>
    <col min="14085" max="14086" width="12.109375" style="156" customWidth="1"/>
    <col min="14087" max="14087" width="9.6640625" style="156" customWidth="1"/>
    <col min="14088" max="14089" width="8" style="156" customWidth="1"/>
    <col min="14090" max="14321" width="7" style="156"/>
    <col min="14322" max="14322" width="4.44140625" style="156" customWidth="1"/>
    <col min="14323" max="14323" width="2.88671875" style="156" customWidth="1"/>
    <col min="14324" max="14324" width="29.88671875" style="156" customWidth="1"/>
    <col min="14325" max="14325" width="4.44140625" style="156" customWidth="1"/>
    <col min="14326" max="14326" width="11.109375" style="156" customWidth="1"/>
    <col min="14327" max="14327" width="4.44140625" style="156" customWidth="1"/>
    <col min="14328" max="14328" width="12.88671875" style="156" customWidth="1"/>
    <col min="14329" max="14329" width="4.44140625" style="156" customWidth="1"/>
    <col min="14330" max="14330" width="13.44140625" style="156" customWidth="1"/>
    <col min="14331" max="14331" width="3.109375" style="156" customWidth="1"/>
    <col min="14332" max="14332" width="0.88671875" style="156" customWidth="1"/>
    <col min="14333" max="14333" width="0" style="156" hidden="1" customWidth="1"/>
    <col min="14334" max="14334" width="4.44140625" style="156" customWidth="1"/>
    <col min="14335" max="14335" width="8" style="156" customWidth="1"/>
    <col min="14336" max="14336" width="17.44140625" style="156" customWidth="1"/>
    <col min="14337" max="14337" width="8" style="156" customWidth="1"/>
    <col min="14338" max="14340" width="18.6640625" style="156" customWidth="1"/>
    <col min="14341" max="14342" width="12.109375" style="156" customWidth="1"/>
    <col min="14343" max="14343" width="9.6640625" style="156" customWidth="1"/>
    <col min="14344" max="14345" width="8" style="156" customWidth="1"/>
    <col min="14346" max="14577" width="7" style="156"/>
    <col min="14578" max="14578" width="4.44140625" style="156" customWidth="1"/>
    <col min="14579" max="14579" width="2.88671875" style="156" customWidth="1"/>
    <col min="14580" max="14580" width="29.88671875" style="156" customWidth="1"/>
    <col min="14581" max="14581" width="4.44140625" style="156" customWidth="1"/>
    <col min="14582" max="14582" width="11.109375" style="156" customWidth="1"/>
    <col min="14583" max="14583" width="4.44140625" style="156" customWidth="1"/>
    <col min="14584" max="14584" width="12.88671875" style="156" customWidth="1"/>
    <col min="14585" max="14585" width="4.44140625" style="156" customWidth="1"/>
    <col min="14586" max="14586" width="13.44140625" style="156" customWidth="1"/>
    <col min="14587" max="14587" width="3.109375" style="156" customWidth="1"/>
    <col min="14588" max="14588" width="0.88671875" style="156" customWidth="1"/>
    <col min="14589" max="14589" width="0" style="156" hidden="1" customWidth="1"/>
    <col min="14590" max="14590" width="4.44140625" style="156" customWidth="1"/>
    <col min="14591" max="14591" width="8" style="156" customWidth="1"/>
    <col min="14592" max="14592" width="17.44140625" style="156" customWidth="1"/>
    <col min="14593" max="14593" width="8" style="156" customWidth="1"/>
    <col min="14594" max="14596" width="18.6640625" style="156" customWidth="1"/>
    <col min="14597" max="14598" width="12.109375" style="156" customWidth="1"/>
    <col min="14599" max="14599" width="9.6640625" style="156" customWidth="1"/>
    <col min="14600" max="14601" width="8" style="156" customWidth="1"/>
    <col min="14602" max="14833" width="7" style="156"/>
    <col min="14834" max="14834" width="4.44140625" style="156" customWidth="1"/>
    <col min="14835" max="14835" width="2.88671875" style="156" customWidth="1"/>
    <col min="14836" max="14836" width="29.88671875" style="156" customWidth="1"/>
    <col min="14837" max="14837" width="4.44140625" style="156" customWidth="1"/>
    <col min="14838" max="14838" width="11.109375" style="156" customWidth="1"/>
    <col min="14839" max="14839" width="4.44140625" style="156" customWidth="1"/>
    <col min="14840" max="14840" width="12.88671875" style="156" customWidth="1"/>
    <col min="14841" max="14841" width="4.44140625" style="156" customWidth="1"/>
    <col min="14842" max="14842" width="13.44140625" style="156" customWidth="1"/>
    <col min="14843" max="14843" width="3.109375" style="156" customWidth="1"/>
    <col min="14844" max="14844" width="0.88671875" style="156" customWidth="1"/>
    <col min="14845" max="14845" width="0" style="156" hidden="1" customWidth="1"/>
    <col min="14846" max="14846" width="4.44140625" style="156" customWidth="1"/>
    <col min="14847" max="14847" width="8" style="156" customWidth="1"/>
    <col min="14848" max="14848" width="17.44140625" style="156" customWidth="1"/>
    <col min="14849" max="14849" width="8" style="156" customWidth="1"/>
    <col min="14850" max="14852" width="18.6640625" style="156" customWidth="1"/>
    <col min="14853" max="14854" width="12.109375" style="156" customWidth="1"/>
    <col min="14855" max="14855" width="9.6640625" style="156" customWidth="1"/>
    <col min="14856" max="14857" width="8" style="156" customWidth="1"/>
    <col min="14858" max="15089" width="7" style="156"/>
    <col min="15090" max="15090" width="4.44140625" style="156" customWidth="1"/>
    <col min="15091" max="15091" width="2.88671875" style="156" customWidth="1"/>
    <col min="15092" max="15092" width="29.88671875" style="156" customWidth="1"/>
    <col min="15093" max="15093" width="4.44140625" style="156" customWidth="1"/>
    <col min="15094" max="15094" width="11.109375" style="156" customWidth="1"/>
    <col min="15095" max="15095" width="4.44140625" style="156" customWidth="1"/>
    <col min="15096" max="15096" width="12.88671875" style="156" customWidth="1"/>
    <col min="15097" max="15097" width="4.44140625" style="156" customWidth="1"/>
    <col min="15098" max="15098" width="13.44140625" style="156" customWidth="1"/>
    <col min="15099" max="15099" width="3.109375" style="156" customWidth="1"/>
    <col min="15100" max="15100" width="0.88671875" style="156" customWidth="1"/>
    <col min="15101" max="15101" width="0" style="156" hidden="1" customWidth="1"/>
    <col min="15102" max="15102" width="4.44140625" style="156" customWidth="1"/>
    <col min="15103" max="15103" width="8" style="156" customWidth="1"/>
    <col min="15104" max="15104" width="17.44140625" style="156" customWidth="1"/>
    <col min="15105" max="15105" width="8" style="156" customWidth="1"/>
    <col min="15106" max="15108" width="18.6640625" style="156" customWidth="1"/>
    <col min="15109" max="15110" width="12.109375" style="156" customWidth="1"/>
    <col min="15111" max="15111" width="9.6640625" style="156" customWidth="1"/>
    <col min="15112" max="15113" width="8" style="156" customWidth="1"/>
    <col min="15114" max="15345" width="7" style="156"/>
    <col min="15346" max="15346" width="4.44140625" style="156" customWidth="1"/>
    <col min="15347" max="15347" width="2.88671875" style="156" customWidth="1"/>
    <col min="15348" max="15348" width="29.88671875" style="156" customWidth="1"/>
    <col min="15349" max="15349" width="4.44140625" style="156" customWidth="1"/>
    <col min="15350" max="15350" width="11.109375" style="156" customWidth="1"/>
    <col min="15351" max="15351" width="4.44140625" style="156" customWidth="1"/>
    <col min="15352" max="15352" width="12.88671875" style="156" customWidth="1"/>
    <col min="15353" max="15353" width="4.44140625" style="156" customWidth="1"/>
    <col min="15354" max="15354" width="13.44140625" style="156" customWidth="1"/>
    <col min="15355" max="15355" width="3.109375" style="156" customWidth="1"/>
    <col min="15356" max="15356" width="0.88671875" style="156" customWidth="1"/>
    <col min="15357" max="15357" width="0" style="156" hidden="1" customWidth="1"/>
    <col min="15358" max="15358" width="4.44140625" style="156" customWidth="1"/>
    <col min="15359" max="15359" width="8" style="156" customWidth="1"/>
    <col min="15360" max="15360" width="17.44140625" style="156" customWidth="1"/>
    <col min="15361" max="15361" width="8" style="156" customWidth="1"/>
    <col min="15362" max="15364" width="18.6640625" style="156" customWidth="1"/>
    <col min="15365" max="15366" width="12.109375" style="156" customWidth="1"/>
    <col min="15367" max="15367" width="9.6640625" style="156" customWidth="1"/>
    <col min="15368" max="15369" width="8" style="156" customWidth="1"/>
    <col min="15370" max="15601" width="7" style="156"/>
    <col min="15602" max="15602" width="4.44140625" style="156" customWidth="1"/>
    <col min="15603" max="15603" width="2.88671875" style="156" customWidth="1"/>
    <col min="15604" max="15604" width="29.88671875" style="156" customWidth="1"/>
    <col min="15605" max="15605" width="4.44140625" style="156" customWidth="1"/>
    <col min="15606" max="15606" width="11.109375" style="156" customWidth="1"/>
    <col min="15607" max="15607" width="4.44140625" style="156" customWidth="1"/>
    <col min="15608" max="15608" width="12.88671875" style="156" customWidth="1"/>
    <col min="15609" max="15609" width="4.44140625" style="156" customWidth="1"/>
    <col min="15610" max="15610" width="13.44140625" style="156" customWidth="1"/>
    <col min="15611" max="15611" width="3.109375" style="156" customWidth="1"/>
    <col min="15612" max="15612" width="0.88671875" style="156" customWidth="1"/>
    <col min="15613" max="15613" width="0" style="156" hidden="1" customWidth="1"/>
    <col min="15614" max="15614" width="4.44140625" style="156" customWidth="1"/>
    <col min="15615" max="15615" width="8" style="156" customWidth="1"/>
    <col min="15616" max="15616" width="17.44140625" style="156" customWidth="1"/>
    <col min="15617" max="15617" width="8" style="156" customWidth="1"/>
    <col min="15618" max="15620" width="18.6640625" style="156" customWidth="1"/>
    <col min="15621" max="15622" width="12.109375" style="156" customWidth="1"/>
    <col min="15623" max="15623" width="9.6640625" style="156" customWidth="1"/>
    <col min="15624" max="15625" width="8" style="156" customWidth="1"/>
    <col min="15626" max="15857" width="7" style="156"/>
    <col min="15858" max="15858" width="4.44140625" style="156" customWidth="1"/>
    <col min="15859" max="15859" width="2.88671875" style="156" customWidth="1"/>
    <col min="15860" max="15860" width="29.88671875" style="156" customWidth="1"/>
    <col min="15861" max="15861" width="4.44140625" style="156" customWidth="1"/>
    <col min="15862" max="15862" width="11.109375" style="156" customWidth="1"/>
    <col min="15863" max="15863" width="4.44140625" style="156" customWidth="1"/>
    <col min="15864" max="15864" width="12.88671875" style="156" customWidth="1"/>
    <col min="15865" max="15865" width="4.44140625" style="156" customWidth="1"/>
    <col min="15866" max="15866" width="13.44140625" style="156" customWidth="1"/>
    <col min="15867" max="15867" width="3.109375" style="156" customWidth="1"/>
    <col min="15868" max="15868" width="0.88671875" style="156" customWidth="1"/>
    <col min="15869" max="15869" width="0" style="156" hidden="1" customWidth="1"/>
    <col min="15870" max="15870" width="4.44140625" style="156" customWidth="1"/>
    <col min="15871" max="15871" width="8" style="156" customWidth="1"/>
    <col min="15872" max="15872" width="17.44140625" style="156" customWidth="1"/>
    <col min="15873" max="15873" width="8" style="156" customWidth="1"/>
    <col min="15874" max="15876" width="18.6640625" style="156" customWidth="1"/>
    <col min="15877" max="15878" width="12.109375" style="156" customWidth="1"/>
    <col min="15879" max="15879" width="9.6640625" style="156" customWidth="1"/>
    <col min="15880" max="15881" width="8" style="156" customWidth="1"/>
    <col min="15882" max="16113" width="7" style="156"/>
    <col min="16114" max="16114" width="4.44140625" style="156" customWidth="1"/>
    <col min="16115" max="16115" width="2.88671875" style="156" customWidth="1"/>
    <col min="16116" max="16116" width="29.88671875" style="156" customWidth="1"/>
    <col min="16117" max="16117" width="4.44140625" style="156" customWidth="1"/>
    <col min="16118" max="16118" width="11.109375" style="156" customWidth="1"/>
    <col min="16119" max="16119" width="4.44140625" style="156" customWidth="1"/>
    <col min="16120" max="16120" width="12.88671875" style="156" customWidth="1"/>
    <col min="16121" max="16121" width="4.44140625" style="156" customWidth="1"/>
    <col min="16122" max="16122" width="13.44140625" style="156" customWidth="1"/>
    <col min="16123" max="16123" width="3.109375" style="156" customWidth="1"/>
    <col min="16124" max="16124" width="0.88671875" style="156" customWidth="1"/>
    <col min="16125" max="16125" width="0" style="156" hidden="1" customWidth="1"/>
    <col min="16126" max="16126" width="4.44140625" style="156" customWidth="1"/>
    <col min="16127" max="16127" width="8" style="156" customWidth="1"/>
    <col min="16128" max="16128" width="17.44140625" style="156" customWidth="1"/>
    <col min="16129" max="16129" width="8" style="156" customWidth="1"/>
    <col min="16130" max="16132" width="18.6640625" style="156" customWidth="1"/>
    <col min="16133" max="16134" width="12.109375" style="156" customWidth="1"/>
    <col min="16135" max="16135" width="9.6640625" style="156" customWidth="1"/>
    <col min="16136" max="16137" width="8" style="156" customWidth="1"/>
    <col min="16138" max="16384" width="7" style="156"/>
  </cols>
  <sheetData>
    <row r="1" spans="1:11">
      <c r="K1" s="485" t="s">
        <v>796</v>
      </c>
    </row>
    <row r="2" spans="1:11">
      <c r="B2" s="486"/>
      <c r="C2" s="486"/>
      <c r="D2" s="486"/>
      <c r="E2" s="486"/>
      <c r="F2" s="486"/>
      <c r="G2" s="486"/>
      <c r="H2" s="486"/>
      <c r="J2" s="486"/>
      <c r="K2" s="485" t="s">
        <v>797</v>
      </c>
    </row>
    <row r="3" spans="1:11">
      <c r="A3" s="1165" t="s">
        <v>4</v>
      </c>
      <c r="B3" s="1165"/>
      <c r="C3" s="1165"/>
      <c r="D3" s="1165"/>
      <c r="E3" s="1165"/>
      <c r="F3" s="1165"/>
      <c r="G3" s="1165"/>
      <c r="H3" s="1165"/>
      <c r="I3" s="1165"/>
      <c r="J3" s="1165"/>
      <c r="K3" s="1165"/>
    </row>
    <row r="4" spans="1:11">
      <c r="A4" s="1165" t="s">
        <v>798</v>
      </c>
      <c r="B4" s="1165"/>
      <c r="C4" s="1165"/>
      <c r="D4" s="1165"/>
      <c r="E4" s="1165"/>
      <c r="F4" s="1165"/>
      <c r="G4" s="1165"/>
      <c r="H4" s="1165"/>
      <c r="I4" s="1165"/>
      <c r="J4" s="1165"/>
      <c r="K4" s="1165"/>
    </row>
    <row r="5" spans="1:11">
      <c r="A5" s="1165" t="s">
        <v>1427</v>
      </c>
      <c r="B5" s="1165"/>
      <c r="C5" s="1165"/>
      <c r="D5" s="1165"/>
      <c r="E5" s="1165"/>
      <c r="F5" s="1165"/>
      <c r="G5" s="1165"/>
      <c r="H5" s="1165"/>
      <c r="I5" s="1165"/>
      <c r="J5" s="1165"/>
      <c r="K5" s="1165"/>
    </row>
    <row r="6" spans="1:11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</row>
    <row r="7" spans="1:11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</row>
    <row r="8" spans="1:11">
      <c r="A8" s="486"/>
      <c r="B8" s="486"/>
      <c r="C8" s="486"/>
      <c r="D8" s="486"/>
      <c r="E8" s="486"/>
      <c r="F8" s="486"/>
      <c r="G8" s="486"/>
      <c r="H8" s="486"/>
      <c r="I8" s="486"/>
      <c r="J8" s="486"/>
      <c r="K8" s="486"/>
    </row>
    <row r="9" spans="1:11" ht="20.399999999999999">
      <c r="A9" s="158" t="s">
        <v>800</v>
      </c>
      <c r="B9" s="159"/>
      <c r="C9" s="158" t="s">
        <v>0</v>
      </c>
      <c r="E9" s="158" t="s">
        <v>801</v>
      </c>
      <c r="F9" s="159"/>
      <c r="G9" s="158" t="s">
        <v>339</v>
      </c>
      <c r="H9" s="159"/>
      <c r="I9" s="158" t="s">
        <v>802</v>
      </c>
      <c r="J9" s="159"/>
      <c r="K9" s="158" t="s">
        <v>800</v>
      </c>
    </row>
    <row r="10" spans="1:11">
      <c r="A10" s="160"/>
      <c r="E10" s="160"/>
      <c r="F10" s="160"/>
      <c r="G10" s="160"/>
      <c r="H10" s="160"/>
      <c r="I10" s="160"/>
    </row>
    <row r="11" spans="1:11">
      <c r="A11" s="160">
        <v>1</v>
      </c>
      <c r="C11" s="156" t="s">
        <v>803</v>
      </c>
      <c r="E11" s="490">
        <f>'B1'!E38</f>
        <v>291295.38168268668</v>
      </c>
      <c r="F11" s="491" t="s">
        <v>804</v>
      </c>
      <c r="G11" s="490">
        <f>'B1'!G38</f>
        <v>636641.88403491338</v>
      </c>
      <c r="H11" s="491" t="s">
        <v>804</v>
      </c>
      <c r="I11" s="490">
        <f>ROUND((E11+G11)/2,0)</f>
        <v>463969</v>
      </c>
      <c r="K11" s="160">
        <f>+A11</f>
        <v>1</v>
      </c>
    </row>
    <row r="12" spans="1:11">
      <c r="A12" s="160"/>
      <c r="E12" s="160"/>
      <c r="F12" s="160"/>
      <c r="G12" s="160"/>
      <c r="H12" s="160"/>
      <c r="I12" s="160"/>
    </row>
    <row r="13" spans="1:11">
      <c r="A13" s="160">
        <f>+A11+1</f>
        <v>2</v>
      </c>
      <c r="C13" s="156" t="s">
        <v>805</v>
      </c>
      <c r="E13" s="490">
        <f>'C1'!N25</f>
        <v>14918.191463523071</v>
      </c>
      <c r="F13" s="491" t="s">
        <v>806</v>
      </c>
      <c r="G13" s="490">
        <f>+E13</f>
        <v>14918.191463523071</v>
      </c>
      <c r="H13" s="491" t="s">
        <v>806</v>
      </c>
      <c r="I13" s="490">
        <f>G13</f>
        <v>14918.191463523071</v>
      </c>
      <c r="K13" s="160">
        <f>+A13</f>
        <v>2</v>
      </c>
    </row>
    <row r="14" spans="1:11">
      <c r="A14" s="160"/>
      <c r="E14" s="160"/>
      <c r="F14" s="160"/>
      <c r="G14" s="160"/>
      <c r="H14" s="160"/>
      <c r="I14" s="160"/>
    </row>
    <row r="15" spans="1:11">
      <c r="A15" s="160">
        <f>+A13+1</f>
        <v>3</v>
      </c>
      <c r="C15" s="156" t="s">
        <v>807</v>
      </c>
      <c r="E15" s="493">
        <f>ROUND(E13/E11,4)</f>
        <v>5.1200000000000002E-2</v>
      </c>
      <c r="F15" s="492"/>
      <c r="G15" s="493">
        <f>ROUND(IF(G11=0,0,G13/G11),6)</f>
        <v>2.3432999999999999E-2</v>
      </c>
      <c r="H15" s="492"/>
      <c r="I15" s="493">
        <f>ROUND(IF(I11=0,0,I13/I11),6)</f>
        <v>3.2153000000000001E-2</v>
      </c>
      <c r="K15" s="160">
        <f>+A15</f>
        <v>3</v>
      </c>
    </row>
    <row r="16" spans="1:11">
      <c r="A16" s="160"/>
      <c r="E16" s="160"/>
      <c r="F16" s="160"/>
      <c r="G16" s="160"/>
      <c r="H16" s="160"/>
      <c r="I16" s="160"/>
    </row>
    <row r="17" spans="1:11">
      <c r="A17" s="160">
        <f>+A15+1</f>
        <v>4</v>
      </c>
      <c r="C17" s="156" t="s">
        <v>808</v>
      </c>
      <c r="E17" s="490" t="e">
        <f>ROUND(E11*E19,2)+((I11-E11)*#REF!)</f>
        <v>#REF!</v>
      </c>
      <c r="F17" s="492"/>
      <c r="G17" s="490" t="e">
        <f>E17</f>
        <v>#REF!</v>
      </c>
      <c r="H17" s="492"/>
      <c r="I17" s="490" t="e">
        <f>E17</f>
        <v>#REF!</v>
      </c>
      <c r="K17" s="160">
        <f>+A17</f>
        <v>4</v>
      </c>
    </row>
    <row r="18" spans="1:11">
      <c r="A18" s="160"/>
      <c r="E18" s="160"/>
      <c r="F18" s="160"/>
      <c r="G18" s="160"/>
      <c r="H18" s="160"/>
      <c r="I18" s="160"/>
    </row>
    <row r="19" spans="1:11">
      <c r="A19" s="160">
        <f>+A17+1</f>
        <v>5</v>
      </c>
      <c r="C19" s="156" t="s">
        <v>809</v>
      </c>
      <c r="E19" s="493">
        <f>'D1 P1'!K24</f>
        <v>7.9830499999999999E-2</v>
      </c>
      <c r="F19" s="491" t="s">
        <v>810</v>
      </c>
      <c r="G19" s="493">
        <f>+E19</f>
        <v>7.9830499999999999E-2</v>
      </c>
      <c r="H19" s="492"/>
      <c r="I19" s="493">
        <f>+E19</f>
        <v>7.9830499999999999E-2</v>
      </c>
      <c r="K19" s="160">
        <v>5</v>
      </c>
    </row>
    <row r="20" spans="1:11">
      <c r="A20" s="160">
        <f>+A19+1</f>
        <v>6</v>
      </c>
      <c r="C20" s="156" t="s">
        <v>811</v>
      </c>
      <c r="E20" s="494" t="e">
        <f>E21-E19</f>
        <v>#REF!</v>
      </c>
      <c r="F20" s="494"/>
      <c r="G20" s="494" t="e">
        <f>G21-G19</f>
        <v>#REF!</v>
      </c>
      <c r="H20" s="494"/>
      <c r="I20" s="494" t="e">
        <f>I21-I19</f>
        <v>#REF!</v>
      </c>
      <c r="K20" s="160">
        <v>6</v>
      </c>
    </row>
    <row r="21" spans="1:11">
      <c r="A21" s="160">
        <f>+A20+1</f>
        <v>7</v>
      </c>
      <c r="C21" s="156" t="s">
        <v>812</v>
      </c>
      <c r="E21" s="495" t="e">
        <f>E17/E11</f>
        <v>#REF!</v>
      </c>
      <c r="F21" s="491"/>
      <c r="G21" s="495" t="e">
        <f>ROUND(IF(G11=0,0,G17/G11),6)</f>
        <v>#REF!</v>
      </c>
      <c r="H21" s="492"/>
      <c r="I21" s="495" t="e">
        <f>ROUND(IF(I11=0,0,I17/I11),6)</f>
        <v>#REF!</v>
      </c>
      <c r="K21" s="160">
        <f>+A21</f>
        <v>7</v>
      </c>
    </row>
    <row r="22" spans="1:11">
      <c r="A22" s="160"/>
      <c r="E22" s="160"/>
      <c r="F22" s="160"/>
      <c r="G22" s="160"/>
      <c r="H22" s="160"/>
      <c r="I22" s="160"/>
    </row>
    <row r="23" spans="1:11">
      <c r="A23" s="160">
        <f>+A21+1</f>
        <v>8</v>
      </c>
      <c r="C23" s="156" t="s">
        <v>2</v>
      </c>
      <c r="E23" s="490" t="e">
        <f>(E17-E13)</f>
        <v>#REF!</v>
      </c>
      <c r="F23" s="492"/>
      <c r="G23" s="490" t="e">
        <f>+E23</f>
        <v>#REF!</v>
      </c>
      <c r="H23" s="492"/>
      <c r="I23" s="490" t="e">
        <f>I17-I13</f>
        <v>#REF!</v>
      </c>
      <c r="K23" s="160">
        <f>+A23</f>
        <v>8</v>
      </c>
    </row>
    <row r="24" spans="1:11">
      <c r="A24" s="160"/>
      <c r="E24" s="160"/>
      <c r="F24" s="160"/>
      <c r="G24" s="160"/>
      <c r="H24" s="160"/>
      <c r="I24" s="160"/>
    </row>
    <row r="25" spans="1:11">
      <c r="A25" s="160">
        <f>+A23+1</f>
        <v>9</v>
      </c>
      <c r="C25" s="156" t="s">
        <v>813</v>
      </c>
      <c r="E25" s="497">
        <f>'C3'!E22</f>
        <v>1.3341709366556531</v>
      </c>
      <c r="F25" s="491" t="s">
        <v>814</v>
      </c>
      <c r="G25" s="497">
        <f>+E25</f>
        <v>1.3341709366556531</v>
      </c>
      <c r="H25" s="491" t="s">
        <v>814</v>
      </c>
      <c r="I25" s="497">
        <f>+E25</f>
        <v>1.3341709366556531</v>
      </c>
      <c r="J25" s="491" t="s">
        <v>814</v>
      </c>
      <c r="K25" s="160">
        <f>+A25</f>
        <v>9</v>
      </c>
    </row>
    <row r="26" spans="1:11">
      <c r="A26" s="160"/>
      <c r="E26" s="160"/>
      <c r="F26" s="160"/>
      <c r="G26" s="160"/>
      <c r="H26" s="160"/>
      <c r="I26" s="160"/>
    </row>
    <row r="27" spans="1:11" ht="10.8" thickBot="1">
      <c r="A27" s="160">
        <f>+A25+1</f>
        <v>10</v>
      </c>
      <c r="C27" s="156" t="s">
        <v>815</v>
      </c>
      <c r="E27" s="498" t="e">
        <f>ROUND(+E23*E25,0)</f>
        <v>#REF!</v>
      </c>
      <c r="F27" s="492"/>
      <c r="G27" s="498" t="e">
        <f>ROUND(+G23*G25,0)</f>
        <v>#REF!</v>
      </c>
      <c r="H27" s="492"/>
      <c r="I27" s="498" t="e">
        <f>ROUND(+I23*I25,0)</f>
        <v>#REF!</v>
      </c>
      <c r="K27" s="160">
        <f>+A27</f>
        <v>10</v>
      </c>
    </row>
    <row r="28" spans="1:11" ht="10.8" thickTop="1">
      <c r="A28" s="160"/>
      <c r="E28" s="490"/>
      <c r="F28" s="492"/>
      <c r="G28" s="490"/>
      <c r="H28" s="492"/>
      <c r="I28" s="490"/>
      <c r="K28" s="160"/>
    </row>
    <row r="29" spans="1:11">
      <c r="A29" s="160"/>
      <c r="E29" s="490"/>
      <c r="F29" s="492"/>
      <c r="G29" s="490"/>
      <c r="H29" s="492"/>
      <c r="I29" s="490"/>
      <c r="K29" s="160"/>
    </row>
    <row r="30" spans="1:11">
      <c r="A30" s="160"/>
      <c r="E30" s="490"/>
      <c r="F30" s="492"/>
      <c r="G30" s="490"/>
      <c r="H30" s="492"/>
      <c r="I30" s="490"/>
      <c r="K30" s="160"/>
    </row>
    <row r="31" spans="1:11">
      <c r="A31" s="160"/>
      <c r="E31" s="490"/>
      <c r="F31" s="492"/>
      <c r="G31" s="490"/>
      <c r="H31" s="492"/>
      <c r="I31" s="490"/>
      <c r="K31" s="160"/>
    </row>
    <row r="32" spans="1:11">
      <c r="A32" s="160"/>
      <c r="E32" s="490"/>
      <c r="F32" s="492"/>
      <c r="G32" s="490"/>
      <c r="H32" s="492"/>
      <c r="I32" s="490"/>
      <c r="K32" s="160"/>
    </row>
    <row r="33" spans="1:11" ht="20.399999999999999">
      <c r="A33" s="160"/>
      <c r="E33" s="159" t="s">
        <v>817</v>
      </c>
      <c r="G33" s="502" t="s">
        <v>818</v>
      </c>
      <c r="I33"/>
      <c r="J33"/>
    </row>
    <row r="34" spans="1:11" ht="20.399999999999999">
      <c r="A34" s="160"/>
      <c r="C34" s="503" t="s">
        <v>819</v>
      </c>
      <c r="E34" s="158" t="s">
        <v>820</v>
      </c>
      <c r="F34" s="160"/>
      <c r="G34" s="158" t="s">
        <v>821</v>
      </c>
      <c r="H34" s="160"/>
      <c r="I34"/>
      <c r="J34"/>
    </row>
    <row r="35" spans="1:11" ht="13.2">
      <c r="A35" s="160"/>
      <c r="E35" s="159" t="s">
        <v>822</v>
      </c>
      <c r="F35" s="160"/>
      <c r="G35" s="159" t="s">
        <v>822</v>
      </c>
      <c r="H35" s="160"/>
      <c r="I35"/>
      <c r="J35"/>
    </row>
    <row r="36" spans="1:11" ht="13.2">
      <c r="A36" s="160"/>
      <c r="I36"/>
      <c r="J36"/>
    </row>
    <row r="37" spans="1:11" ht="13.2">
      <c r="A37" s="160">
        <f>+A27+1</f>
        <v>11</v>
      </c>
      <c r="C37" s="156" t="s">
        <v>823</v>
      </c>
      <c r="E37" s="490">
        <v>9419.2664639110335</v>
      </c>
      <c r="G37" s="1009">
        <v>0.19775508809444778</v>
      </c>
      <c r="I37"/>
      <c r="J37"/>
      <c r="K37" s="160">
        <f>+K27+1</f>
        <v>11</v>
      </c>
    </row>
    <row r="38" spans="1:11" ht="13.2">
      <c r="A38" s="160"/>
      <c r="E38" s="485"/>
      <c r="G38" s="504"/>
      <c r="I38"/>
      <c r="J38"/>
      <c r="K38" s="160"/>
    </row>
    <row r="39" spans="1:11" ht="13.2">
      <c r="A39" s="160">
        <f>+A37+1</f>
        <v>12</v>
      </c>
      <c r="C39" s="156" t="s">
        <v>1859</v>
      </c>
      <c r="E39" s="490">
        <v>2292.3351239164508</v>
      </c>
      <c r="G39" s="1009">
        <v>0.15930318926911546</v>
      </c>
      <c r="I39"/>
      <c r="J39"/>
      <c r="K39" s="160">
        <f>+K37+1</f>
        <v>12</v>
      </c>
    </row>
    <row r="40" spans="1:11" ht="13.2">
      <c r="A40" s="160"/>
      <c r="E40" s="505"/>
      <c r="G40" s="504"/>
      <c r="I40"/>
      <c r="J40"/>
      <c r="K40" s="160"/>
    </row>
    <row r="41" spans="1:11" ht="13.2">
      <c r="A41" s="160">
        <f>+A39+1</f>
        <v>13</v>
      </c>
      <c r="C41" s="156" t="s">
        <v>1860</v>
      </c>
      <c r="E41" s="490">
        <v>1911.7666515905391</v>
      </c>
      <c r="G41" s="1009">
        <v>0.33829802464642122</v>
      </c>
      <c r="I41"/>
      <c r="J41"/>
      <c r="K41" s="160">
        <f>+K39+1</f>
        <v>13</v>
      </c>
    </row>
    <row r="42" spans="1:11" ht="13.2">
      <c r="A42" s="160"/>
      <c r="E42" s="505"/>
      <c r="G42" s="504"/>
      <c r="I42"/>
      <c r="J42"/>
      <c r="K42" s="160"/>
    </row>
    <row r="43" spans="1:11" ht="13.8" thickBot="1">
      <c r="A43" s="160">
        <f>+A41+1</f>
        <v>14</v>
      </c>
      <c r="C43" s="156" t="s">
        <v>824</v>
      </c>
      <c r="E43" s="506">
        <f>SUM(E37:E42)</f>
        <v>13623.368239418023</v>
      </c>
      <c r="F43" s="489"/>
      <c r="G43" s="1009"/>
      <c r="I43"/>
      <c r="J43"/>
      <c r="K43" s="160">
        <f>+K41+1</f>
        <v>14</v>
      </c>
    </row>
    <row r="44" spans="1:11" ht="13.8" thickTop="1">
      <c r="A44" s="160"/>
      <c r="C44" s="156" t="s">
        <v>181</v>
      </c>
      <c r="E44" s="508"/>
      <c r="G44"/>
      <c r="I44" s="509"/>
      <c r="J44"/>
      <c r="K44" s="160"/>
    </row>
    <row r="45" spans="1:11" ht="13.2">
      <c r="A45" s="160"/>
      <c r="E45" s="510"/>
      <c r="H45" s="485"/>
      <c r="I45" s="511"/>
      <c r="J45"/>
    </row>
    <row r="46" spans="1:11">
      <c r="I46" s="511"/>
    </row>
    <row r="47" spans="1:11">
      <c r="C47" s="160" t="s">
        <v>826</v>
      </c>
      <c r="D47" s="160"/>
      <c r="E47" s="160"/>
      <c r="F47" s="160"/>
      <c r="G47" s="160"/>
      <c r="I47" s="511"/>
    </row>
    <row r="48" spans="1:11">
      <c r="C48" s="160" t="s">
        <v>827</v>
      </c>
    </row>
    <row r="49" spans="2:10">
      <c r="C49" s="160" t="s">
        <v>828</v>
      </c>
    </row>
    <row r="50" spans="2:10">
      <c r="C50" s="160" t="s">
        <v>829</v>
      </c>
    </row>
    <row r="51" spans="2:10">
      <c r="C51" s="160" t="s">
        <v>830</v>
      </c>
    </row>
    <row r="52" spans="2:10" ht="13.2">
      <c r="C52" s="160" t="s">
        <v>831</v>
      </c>
      <c r="D52" s="489"/>
      <c r="I52"/>
      <c r="J52"/>
    </row>
    <row r="53" spans="2:10" ht="13.2">
      <c r="D53" s="489"/>
      <c r="I53"/>
      <c r="J53"/>
    </row>
    <row r="54" spans="2:10" ht="13.2">
      <c r="C54" s="160"/>
      <c r="D54" s="489"/>
      <c r="I54"/>
      <c r="J54"/>
    </row>
    <row r="55" spans="2:10" ht="13.2">
      <c r="B55" s="513" t="s">
        <v>832</v>
      </c>
      <c r="C55" s="160"/>
      <c r="E55" s="1162" t="s">
        <v>833</v>
      </c>
      <c r="F55" s="1163"/>
      <c r="G55" s="1164"/>
      <c r="H55" s="1021"/>
      <c r="I55" s="1021"/>
      <c r="J55"/>
    </row>
    <row r="56" spans="2:10">
      <c r="C56" s="160"/>
      <c r="F56" s="485" t="s">
        <v>834</v>
      </c>
      <c r="G56" s="490" t="e">
        <f>+E27</f>
        <v>#REF!</v>
      </c>
    </row>
    <row r="57" spans="2:10">
      <c r="B57" s="513" t="s">
        <v>835</v>
      </c>
      <c r="F57" s="485" t="s">
        <v>836</v>
      </c>
      <c r="G57" s="514">
        <f>+E43</f>
        <v>13623.368239418023</v>
      </c>
    </row>
    <row r="58" spans="2:10">
      <c r="B58" s="513" t="s">
        <v>801</v>
      </c>
      <c r="F58" s="485" t="s">
        <v>3</v>
      </c>
      <c r="G58" s="1113" t="e">
        <f>+G56-G57</f>
        <v>#REF!</v>
      </c>
    </row>
    <row r="59" spans="2:10">
      <c r="B59" s="487" t="s">
        <v>837</v>
      </c>
      <c r="C59" s="160"/>
      <c r="G59" s="1043"/>
    </row>
    <row r="60" spans="2:10">
      <c r="B60" s="487" t="s">
        <v>838</v>
      </c>
      <c r="C60" s="489"/>
    </row>
    <row r="61" spans="2:10">
      <c r="B61" s="487" t="s">
        <v>839</v>
      </c>
    </row>
    <row r="62" spans="2:10">
      <c r="B62" s="487" t="s">
        <v>840</v>
      </c>
    </row>
    <row r="64" spans="2:10">
      <c r="B64" s="513" t="s">
        <v>841</v>
      </c>
    </row>
    <row r="65" spans="2:3">
      <c r="B65" s="487" t="s">
        <v>837</v>
      </c>
      <c r="C65" s="160"/>
    </row>
    <row r="66" spans="2:3">
      <c r="B66" s="487" t="s">
        <v>838</v>
      </c>
      <c r="C66" s="489"/>
    </row>
    <row r="67" spans="2:3">
      <c r="B67" s="487" t="s">
        <v>840</v>
      </c>
    </row>
    <row r="68" spans="2:3">
      <c r="B68" s="487"/>
    </row>
    <row r="69" spans="2:3">
      <c r="B69" s="513" t="s">
        <v>842</v>
      </c>
    </row>
    <row r="70" spans="2:3">
      <c r="B70" s="487" t="s">
        <v>843</v>
      </c>
    </row>
  </sheetData>
  <mergeCells count="5">
    <mergeCell ref="E55:G55"/>
    <mergeCell ref="A3:K3"/>
    <mergeCell ref="A4:K4"/>
    <mergeCell ref="A5:K5"/>
    <mergeCell ref="A6:K6"/>
  </mergeCells>
  <phoneticPr fontId="12" type="noConversion"/>
  <printOptions horizontalCentered="1"/>
  <pageMargins left="0.7" right="0.7" top="0.75" bottom="0.75" header="0.3" footer="0.3"/>
  <pageSetup fitToHeight="0" orientation="portrait" r:id="rId1"/>
  <headerFooter scaleWithDoc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03B21-1C16-4FE5-8C5F-C98895842B4A}">
  <sheetPr>
    <tabColor rgb="FFFFFFCC"/>
    <pageSetUpPr fitToPage="1"/>
  </sheetPr>
  <dimension ref="A1:T88"/>
  <sheetViews>
    <sheetView showGridLines="0" zoomScaleNormal="100" zoomScaleSheetLayoutView="100" workbookViewId="0"/>
  </sheetViews>
  <sheetFormatPr defaultColWidth="9.109375" defaultRowHeight="10.199999999999999"/>
  <cols>
    <col min="1" max="1" width="3.88671875" style="516" customWidth="1"/>
    <col min="2" max="2" width="2.88671875" style="516" customWidth="1"/>
    <col min="3" max="3" width="34.33203125" style="516" customWidth="1"/>
    <col min="4" max="4" width="2.88671875" style="516" customWidth="1"/>
    <col min="5" max="5" width="11.44140625" style="516" customWidth="1"/>
    <col min="6" max="6" width="2.88671875" style="516" customWidth="1"/>
    <col min="7" max="7" width="11.44140625" style="516" customWidth="1"/>
    <col min="8" max="8" width="2.88671875" style="516" customWidth="1"/>
    <col min="9" max="9" width="11.44140625" style="516" customWidth="1"/>
    <col min="10" max="10" width="2.88671875" style="516" customWidth="1"/>
    <col min="11" max="11" width="11.44140625" style="516" customWidth="1"/>
    <col min="12" max="12" width="2.88671875" style="516" customWidth="1"/>
    <col min="13" max="13" width="11.44140625" style="516" customWidth="1"/>
    <col min="14" max="14" width="2.88671875" style="516" customWidth="1"/>
    <col min="15" max="15" width="11.44140625" style="516" customWidth="1"/>
    <col min="16" max="16" width="2.88671875" style="516" customWidth="1"/>
    <col min="17" max="17" width="3.88671875" style="516" customWidth="1"/>
    <col min="18" max="18" width="9.33203125" style="516" customWidth="1"/>
    <col min="19" max="20" width="9.109375" style="516"/>
    <col min="21" max="21" width="7.6640625" style="516" bestFit="1" customWidth="1"/>
    <col min="22" max="16384" width="9.109375" style="516"/>
  </cols>
  <sheetData>
    <row r="1" spans="1:17">
      <c r="A1" s="515"/>
      <c r="Q1" s="517" t="s">
        <v>844</v>
      </c>
    </row>
    <row r="2" spans="1:17">
      <c r="B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7" t="s">
        <v>797</v>
      </c>
    </row>
    <row r="3" spans="1:17">
      <c r="A3" s="1173" t="s">
        <v>4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  <c r="L3" s="1173"/>
      <c r="M3" s="1173"/>
      <c r="N3" s="1173"/>
      <c r="O3" s="1173"/>
      <c r="P3" s="1173"/>
      <c r="Q3" s="1173"/>
    </row>
    <row r="4" spans="1:17">
      <c r="A4" s="1170" t="s">
        <v>845</v>
      </c>
      <c r="B4" s="1170"/>
      <c r="C4" s="1170"/>
      <c r="D4" s="1170"/>
      <c r="E4" s="1170"/>
      <c r="F4" s="1170"/>
      <c r="G4" s="1170"/>
      <c r="H4" s="1170"/>
      <c r="I4" s="1170"/>
      <c r="J4" s="1170"/>
      <c r="K4" s="1170"/>
      <c r="L4" s="1170"/>
      <c r="M4" s="1170"/>
      <c r="N4" s="1170"/>
      <c r="O4" s="1170"/>
      <c r="P4" s="1170"/>
      <c r="Q4" s="1170"/>
    </row>
    <row r="5" spans="1:17">
      <c r="A5" s="1173" t="s">
        <v>1437</v>
      </c>
      <c r="B5" s="1173"/>
      <c r="C5" s="1173"/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</row>
    <row r="6" spans="1:17">
      <c r="A6" s="1173" t="s">
        <v>1438</v>
      </c>
      <c r="B6" s="1173"/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3"/>
      <c r="N6" s="1173"/>
      <c r="O6" s="1173"/>
      <c r="P6" s="1173"/>
      <c r="Q6" s="1173"/>
    </row>
    <row r="7" spans="1:17">
      <c r="A7" s="1173" t="s">
        <v>799</v>
      </c>
      <c r="B7" s="1173"/>
      <c r="C7" s="1173"/>
      <c r="D7" s="1173"/>
      <c r="E7" s="1173"/>
      <c r="F7" s="1173"/>
      <c r="G7" s="1173"/>
      <c r="H7" s="1173"/>
      <c r="I7" s="1173"/>
      <c r="J7" s="1173"/>
      <c r="K7" s="1173"/>
      <c r="L7" s="1173"/>
      <c r="M7" s="1173"/>
      <c r="N7" s="1173"/>
      <c r="O7" s="1173"/>
      <c r="P7" s="1173"/>
      <c r="Q7" s="1173"/>
    </row>
    <row r="8" spans="1:17">
      <c r="O8" s="518"/>
      <c r="P8" s="518"/>
    </row>
    <row r="9" spans="1:17">
      <c r="I9" s="518"/>
      <c r="K9" s="518"/>
      <c r="M9" s="1170" t="s">
        <v>846</v>
      </c>
      <c r="N9" s="1170"/>
      <c r="O9" s="1170"/>
      <c r="P9" s="518"/>
    </row>
    <row r="10" spans="1:17">
      <c r="E10" s="1172" t="s">
        <v>956</v>
      </c>
      <c r="F10" s="1173"/>
      <c r="G10" s="1173"/>
      <c r="H10" s="518" t="s">
        <v>181</v>
      </c>
      <c r="I10" s="1170" t="s">
        <v>848</v>
      </c>
      <c r="J10" s="1170"/>
      <c r="K10" s="1170"/>
      <c r="L10" s="518" t="s">
        <v>181</v>
      </c>
      <c r="M10" s="1171" t="s">
        <v>1439</v>
      </c>
      <c r="N10" s="1171"/>
      <c r="O10" s="1171"/>
      <c r="P10" s="518" t="s">
        <v>181</v>
      </c>
    </row>
    <row r="11" spans="1:17">
      <c r="A11" s="519" t="s">
        <v>331</v>
      </c>
      <c r="E11" s="1174"/>
      <c r="F11" s="1174"/>
      <c r="G11" s="1174"/>
      <c r="H11" s="518" t="s">
        <v>181</v>
      </c>
      <c r="I11" s="1171" t="s">
        <v>1440</v>
      </c>
      <c r="J11" s="1171"/>
      <c r="K11" s="1171"/>
      <c r="L11" s="518" t="s">
        <v>181</v>
      </c>
      <c r="M11" s="519" t="s">
        <v>851</v>
      </c>
      <c r="O11" s="519" t="s">
        <v>816</v>
      </c>
      <c r="Q11" s="519" t="s">
        <v>331</v>
      </c>
    </row>
    <row r="12" spans="1:17" s="524" customFormat="1">
      <c r="A12" s="523" t="s">
        <v>333</v>
      </c>
      <c r="C12" s="1138" t="s">
        <v>0</v>
      </c>
      <c r="E12" s="869" t="s">
        <v>957</v>
      </c>
      <c r="F12" s="870"/>
      <c r="G12" s="869" t="s">
        <v>1441</v>
      </c>
      <c r="H12" s="870"/>
      <c r="I12" s="523" t="s">
        <v>852</v>
      </c>
      <c r="J12" s="870"/>
      <c r="K12" s="523" t="s">
        <v>853</v>
      </c>
      <c r="M12" s="523" t="s">
        <v>854</v>
      </c>
      <c r="N12" s="516"/>
      <c r="O12" s="523" t="s">
        <v>854</v>
      </c>
      <c r="P12" s="516"/>
      <c r="Q12" s="523" t="s">
        <v>333</v>
      </c>
    </row>
    <row r="13" spans="1:17">
      <c r="E13" s="519"/>
      <c r="F13" s="519"/>
      <c r="G13" s="519"/>
      <c r="H13" s="519"/>
      <c r="I13" s="519"/>
      <c r="J13" s="519"/>
      <c r="K13" s="519"/>
      <c r="L13" s="519"/>
      <c r="M13" s="519"/>
      <c r="N13" s="519"/>
      <c r="O13" s="519"/>
      <c r="P13" s="519"/>
    </row>
    <row r="14" spans="1:17">
      <c r="I14" s="525"/>
      <c r="K14" s="525"/>
    </row>
    <row r="15" spans="1:17">
      <c r="A15" s="519">
        <v>1</v>
      </c>
      <c r="C15" s="516" t="s">
        <v>44</v>
      </c>
      <c r="E15" s="526">
        <f>'E2'!D15</f>
        <v>130851</v>
      </c>
      <c r="F15" s="526"/>
      <c r="G15" s="526">
        <f>'E2'!C15</f>
        <v>139417</v>
      </c>
      <c r="H15" s="526"/>
      <c r="I15" s="526">
        <f>'C1'!J16</f>
        <v>126161</v>
      </c>
      <c r="J15" s="526"/>
      <c r="K15" s="526">
        <f>'C1'!N16</f>
        <v>68985.665640000036</v>
      </c>
      <c r="L15" s="526"/>
      <c r="M15" s="526">
        <f>'F1'!G13</f>
        <v>156937</v>
      </c>
      <c r="N15" s="526"/>
      <c r="O15" s="526">
        <f>'F1'!I13</f>
        <v>172971</v>
      </c>
      <c r="P15" s="526"/>
      <c r="Q15" s="519">
        <f>+A15</f>
        <v>1</v>
      </c>
    </row>
    <row r="16" spans="1:17">
      <c r="A16" s="519">
        <f>+A15+1</f>
        <v>2</v>
      </c>
      <c r="C16" s="516" t="s">
        <v>855</v>
      </c>
      <c r="E16" s="527">
        <f>'E2'!D23</f>
        <v>114058</v>
      </c>
      <c r="F16" s="528"/>
      <c r="G16" s="527">
        <f>'E2'!C23</f>
        <v>123056</v>
      </c>
      <c r="H16" s="528"/>
      <c r="I16" s="527">
        <f>'C1'!J23</f>
        <v>112900</v>
      </c>
      <c r="J16" s="528">
        <v>-2</v>
      </c>
      <c r="K16" s="527">
        <f>'C1'!N23</f>
        <v>54067.474176476964</v>
      </c>
      <c r="L16" s="528"/>
      <c r="M16" s="527">
        <f>'F1'!G21</f>
        <v>141643</v>
      </c>
      <c r="N16" s="528"/>
      <c r="O16" s="527">
        <f>'F1'!I21</f>
        <v>146088</v>
      </c>
      <c r="P16" s="528"/>
      <c r="Q16" s="519">
        <f>+A16</f>
        <v>2</v>
      </c>
    </row>
    <row r="17" spans="1:17">
      <c r="A17" s="519">
        <f>+A16+1</f>
        <v>3</v>
      </c>
      <c r="C17" s="516" t="s">
        <v>856</v>
      </c>
      <c r="E17" s="528">
        <f>E15-E16</f>
        <v>16793</v>
      </c>
      <c r="F17" s="528"/>
      <c r="G17" s="528">
        <f>G15-G16</f>
        <v>16361</v>
      </c>
      <c r="H17" s="528"/>
      <c r="I17" s="528">
        <f>I15-I16</f>
        <v>13261</v>
      </c>
      <c r="J17" s="528"/>
      <c r="K17" s="528">
        <f>K15-K16</f>
        <v>14918.191463523071</v>
      </c>
      <c r="L17" s="528"/>
      <c r="M17" s="528">
        <f>M15-M16</f>
        <v>15294</v>
      </c>
      <c r="N17" s="528"/>
      <c r="O17" s="528">
        <f>O15-O16</f>
        <v>26883</v>
      </c>
      <c r="P17" s="528"/>
      <c r="Q17" s="519">
        <f>+A17</f>
        <v>3</v>
      </c>
    </row>
    <row r="18" spans="1:17">
      <c r="A18" s="519"/>
      <c r="E18" s="528"/>
      <c r="F18" s="528"/>
      <c r="G18" s="528"/>
      <c r="H18" s="528"/>
      <c r="I18" s="528"/>
      <c r="J18" s="528"/>
      <c r="K18" s="528"/>
      <c r="L18" s="528"/>
      <c r="M18" s="528"/>
      <c r="N18" s="528"/>
      <c r="O18" s="528"/>
      <c r="P18" s="528"/>
      <c r="Q18" s="519"/>
    </row>
    <row r="19" spans="1:17">
      <c r="A19" s="519">
        <f>+A17+1</f>
        <v>4</v>
      </c>
      <c r="C19" s="516" t="s">
        <v>857</v>
      </c>
      <c r="E19" s="527">
        <f>'E2'!D30</f>
        <v>122</v>
      </c>
      <c r="F19" s="528"/>
      <c r="G19" s="527">
        <f>'E2'!C30</f>
        <v>357</v>
      </c>
      <c r="H19" s="529"/>
      <c r="I19" s="527">
        <f>'C1'!J30</f>
        <v>-224</v>
      </c>
      <c r="J19" s="528"/>
      <c r="K19" s="527">
        <f>+I19</f>
        <v>-224</v>
      </c>
      <c r="L19" s="528"/>
      <c r="M19" s="527">
        <f>'F1'!G28</f>
        <v>-41</v>
      </c>
      <c r="N19" s="528"/>
      <c r="O19" s="527">
        <f>'F1'!I28</f>
        <v>1</v>
      </c>
      <c r="P19" s="528"/>
      <c r="Q19" s="519">
        <f>+A19</f>
        <v>4</v>
      </c>
    </row>
    <row r="20" spans="1:17">
      <c r="A20" s="519">
        <f>+A19+1</f>
        <v>5</v>
      </c>
      <c r="C20" s="516" t="s">
        <v>858</v>
      </c>
      <c r="E20" s="528">
        <f>E17+E19</f>
        <v>16915</v>
      </c>
      <c r="F20" s="528"/>
      <c r="G20" s="528">
        <f>G17+G19</f>
        <v>16718</v>
      </c>
      <c r="H20" s="528"/>
      <c r="I20" s="528">
        <f>I17+I19</f>
        <v>13037</v>
      </c>
      <c r="J20" s="528"/>
      <c r="K20" s="528">
        <f>K17+K19</f>
        <v>14694.191463523071</v>
      </c>
      <c r="L20" s="528"/>
      <c r="M20" s="528">
        <f>M17+M19</f>
        <v>15253</v>
      </c>
      <c r="N20" s="528"/>
      <c r="O20" s="528">
        <f>O17+O19</f>
        <v>26884</v>
      </c>
      <c r="P20" s="528"/>
      <c r="Q20" s="519">
        <f>+A20</f>
        <v>5</v>
      </c>
    </row>
    <row r="21" spans="1:17">
      <c r="A21" s="519"/>
      <c r="E21" s="528"/>
      <c r="F21" s="528"/>
      <c r="G21" s="528"/>
      <c r="H21" s="528"/>
      <c r="I21" s="528"/>
      <c r="J21" s="528"/>
      <c r="K21" s="528"/>
      <c r="L21" s="528"/>
      <c r="M21" s="528"/>
      <c r="N21" s="528"/>
      <c r="O21" s="528"/>
      <c r="P21" s="528"/>
      <c r="Q21" s="519"/>
    </row>
    <row r="22" spans="1:17">
      <c r="A22" s="519">
        <f>+A20+1</f>
        <v>6</v>
      </c>
      <c r="C22" s="516" t="s">
        <v>859</v>
      </c>
      <c r="E22" s="527">
        <f>'E2'!D39</f>
        <v>4931</v>
      </c>
      <c r="F22" s="528"/>
      <c r="G22" s="527">
        <f>'E2'!C39</f>
        <v>5692</v>
      </c>
      <c r="H22" s="528"/>
      <c r="I22" s="527">
        <f>'C1'!J39</f>
        <v>6094.0231599999997</v>
      </c>
      <c r="J22" s="528">
        <v>-2</v>
      </c>
      <c r="K22" s="527">
        <f>I22</f>
        <v>6094.0231599999997</v>
      </c>
      <c r="L22" s="529"/>
      <c r="M22" s="527">
        <f>'F1'!G37</f>
        <v>6834</v>
      </c>
      <c r="N22" s="528"/>
      <c r="O22" s="527">
        <f>'F1'!I37</f>
        <v>6393</v>
      </c>
      <c r="P22" s="528"/>
      <c r="Q22" s="519">
        <f>+A22</f>
        <v>6</v>
      </c>
    </row>
    <row r="23" spans="1:17">
      <c r="A23" s="519"/>
      <c r="E23" s="528"/>
      <c r="F23" s="528"/>
      <c r="G23" s="528"/>
      <c r="H23" s="528"/>
      <c r="I23" s="528"/>
      <c r="J23" s="528"/>
      <c r="K23" s="528"/>
      <c r="L23" s="528"/>
      <c r="M23" s="528"/>
      <c r="N23" s="528"/>
      <c r="O23" s="528"/>
      <c r="P23" s="528"/>
      <c r="Q23" s="519"/>
    </row>
    <row r="24" spans="1:17" ht="10.8" thickBot="1">
      <c r="A24" s="519">
        <f>A22+1</f>
        <v>7</v>
      </c>
      <c r="C24" s="516" t="s">
        <v>860</v>
      </c>
      <c r="E24" s="530">
        <f>E20-E22</f>
        <v>11984</v>
      </c>
      <c r="F24" s="526"/>
      <c r="G24" s="530">
        <f>G20-G22</f>
        <v>11026</v>
      </c>
      <c r="H24" s="526"/>
      <c r="I24" s="530">
        <f>I20-I22</f>
        <v>6942.9768400000003</v>
      </c>
      <c r="J24" s="526"/>
      <c r="K24" s="530">
        <f>K20-K22</f>
        <v>8600.1683035230708</v>
      </c>
      <c r="L24" s="526"/>
      <c r="M24" s="530">
        <f>M20-M22</f>
        <v>8419</v>
      </c>
      <c r="N24" s="526"/>
      <c r="O24" s="530">
        <f>O20-O22</f>
        <v>20491</v>
      </c>
      <c r="P24" s="526"/>
      <c r="Q24" s="519">
        <f>+A24</f>
        <v>7</v>
      </c>
    </row>
    <row r="25" spans="1:17" ht="10.8" thickTop="1">
      <c r="A25" s="519"/>
      <c r="E25" s="528"/>
      <c r="F25" s="528"/>
      <c r="G25" s="528"/>
      <c r="H25" s="528"/>
      <c r="I25" s="528"/>
      <c r="J25" s="528"/>
      <c r="K25" s="528"/>
      <c r="L25" s="528"/>
      <c r="M25" s="528"/>
      <c r="N25" s="528"/>
      <c r="O25" s="528"/>
      <c r="P25" s="528"/>
      <c r="Q25" s="519"/>
    </row>
    <row r="26" spans="1:17">
      <c r="A26" s="519"/>
      <c r="E26" s="528"/>
      <c r="F26" s="528"/>
      <c r="G26" s="528"/>
      <c r="H26" s="528"/>
      <c r="I26" s="528"/>
      <c r="J26" s="528"/>
      <c r="K26" s="528"/>
      <c r="L26" s="528"/>
      <c r="M26" s="528"/>
      <c r="N26" s="528"/>
      <c r="O26" s="528"/>
      <c r="P26" s="528"/>
      <c r="Q26" s="519"/>
    </row>
    <row r="27" spans="1:17">
      <c r="A27" s="519">
        <f>+A24+1</f>
        <v>8</v>
      </c>
      <c r="C27" s="516" t="s">
        <v>861</v>
      </c>
      <c r="E27" s="531" t="s">
        <v>22</v>
      </c>
      <c r="F27" s="532" t="s">
        <v>825</v>
      </c>
      <c r="G27" s="531" t="s">
        <v>22</v>
      </c>
      <c r="H27" s="531"/>
      <c r="I27" s="531" t="s">
        <v>22</v>
      </c>
      <c r="J27" s="532"/>
      <c r="K27" s="531" t="s">
        <v>22</v>
      </c>
      <c r="L27" s="528"/>
      <c r="M27" s="531" t="s">
        <v>22</v>
      </c>
      <c r="N27" s="531"/>
      <c r="O27" s="531" t="s">
        <v>22</v>
      </c>
      <c r="P27" s="531"/>
      <c r="Q27" s="519">
        <f>+A27</f>
        <v>8</v>
      </c>
    </row>
    <row r="28" spans="1:17">
      <c r="A28" s="519">
        <f>+A27+1</f>
        <v>9</v>
      </c>
      <c r="C28" s="516" t="s">
        <v>862</v>
      </c>
      <c r="E28" s="531" t="s">
        <v>22</v>
      </c>
      <c r="F28" s="532" t="s">
        <v>825</v>
      </c>
      <c r="G28" s="531" t="s">
        <v>22</v>
      </c>
      <c r="H28" s="531"/>
      <c r="I28" s="531" t="s">
        <v>22</v>
      </c>
      <c r="J28" s="532"/>
      <c r="K28" s="531" t="s">
        <v>22</v>
      </c>
      <c r="L28" s="528"/>
      <c r="M28" s="531" t="s">
        <v>22</v>
      </c>
      <c r="N28" s="531"/>
      <c r="O28" s="531" t="s">
        <v>22</v>
      </c>
      <c r="P28" s="531"/>
      <c r="Q28" s="519">
        <f>+A28</f>
        <v>9</v>
      </c>
    </row>
    <row r="29" spans="1:17">
      <c r="A29" s="519">
        <f>+A28+1</f>
        <v>10</v>
      </c>
      <c r="C29" s="516" t="s">
        <v>863</v>
      </c>
      <c r="D29" s="532"/>
      <c r="E29" s="533">
        <v>0</v>
      </c>
      <c r="F29" s="532" t="s">
        <v>825</v>
      </c>
      <c r="G29" s="533">
        <v>0</v>
      </c>
      <c r="H29" s="531"/>
      <c r="I29" s="533">
        <v>0</v>
      </c>
      <c r="J29" s="532"/>
      <c r="K29" s="533">
        <v>0</v>
      </c>
      <c r="L29" s="528"/>
      <c r="M29" s="533">
        <v>0</v>
      </c>
      <c r="N29" s="531"/>
      <c r="O29" s="533">
        <v>0</v>
      </c>
      <c r="P29" s="531"/>
      <c r="Q29" s="519">
        <f>+A29</f>
        <v>10</v>
      </c>
    </row>
    <row r="30" spans="1:17">
      <c r="A30" s="519"/>
      <c r="E30" s="534"/>
      <c r="F30" s="534"/>
      <c r="G30" s="534"/>
      <c r="H30" s="534"/>
      <c r="I30" s="534"/>
      <c r="J30" s="534"/>
      <c r="K30" s="534"/>
      <c r="M30" s="534"/>
      <c r="N30" s="517"/>
      <c r="O30" s="517"/>
      <c r="P30" s="517"/>
      <c r="Q30" s="519"/>
    </row>
    <row r="31" spans="1:17">
      <c r="A31" s="519">
        <f>+A29+1</f>
        <v>11</v>
      </c>
      <c r="C31" s="535" t="s">
        <v>864</v>
      </c>
      <c r="E31" s="536">
        <f>(G$71+G$73)/G80</f>
        <v>7.0779685414321641E-2</v>
      </c>
      <c r="F31" s="537"/>
      <c r="G31" s="536">
        <f>(I$71+I$73)/I80</f>
        <v>6.8326256033415203E-2</v>
      </c>
      <c r="H31" s="536"/>
      <c r="I31" s="536">
        <f>(M$71+M$73)/M80</f>
        <v>4.6204772520263539E-2</v>
      </c>
      <c r="J31" s="537"/>
      <c r="K31" s="536">
        <f>(O$71+O$73)/O80</f>
        <v>5.1773984196317492E-2</v>
      </c>
      <c r="L31" s="536"/>
      <c r="M31" s="536">
        <f>(R$71+R$73)/R80</f>
        <v>5.3105868500329827E-2</v>
      </c>
      <c r="N31" s="536"/>
      <c r="O31" s="536">
        <f>(T$71+T$73)/T80</f>
        <v>8.9825615012779567E-2</v>
      </c>
      <c r="P31" s="534"/>
      <c r="Q31" s="519">
        <f>+A31</f>
        <v>11</v>
      </c>
    </row>
    <row r="32" spans="1:17">
      <c r="A32" s="519">
        <f>+A31+1</f>
        <v>12</v>
      </c>
      <c r="C32" s="516" t="s">
        <v>865</v>
      </c>
      <c r="E32" s="536">
        <f>(G$71+G$73)/G81</f>
        <v>7.276573843338148E-2</v>
      </c>
      <c r="F32" s="537"/>
      <c r="G32" s="536">
        <f>(I$71+I$73)/I81</f>
        <v>6.9131207873299419E-2</v>
      </c>
      <c r="H32" s="536"/>
      <c r="I32" s="536">
        <f>(M$71+M$73)/M81</f>
        <v>4.947989371216327E-2</v>
      </c>
      <c r="J32" s="537"/>
      <c r="K32" s="536">
        <f>(O$71+O$73)/O81</f>
        <v>5.5594670203183046E-2</v>
      </c>
      <c r="L32" s="536"/>
      <c r="M32" s="536">
        <f>(R$71+R$73)/R81</f>
        <v>5.3422489247484946E-2</v>
      </c>
      <c r="N32" s="536"/>
      <c r="O32" s="536">
        <f>(T$71+T$73)/T81</f>
        <v>9.2209774292258392E-2</v>
      </c>
      <c r="P32" s="538"/>
      <c r="Q32" s="519">
        <f>+A32</f>
        <v>12</v>
      </c>
    </row>
    <row r="33" spans="1:17">
      <c r="E33" s="494"/>
      <c r="G33" s="494"/>
      <c r="H33" s="494"/>
      <c r="I33" s="494"/>
      <c r="K33" s="494"/>
      <c r="L33" s="494"/>
      <c r="M33" s="494"/>
      <c r="N33" s="494"/>
      <c r="O33" s="494"/>
    </row>
    <row r="34" spans="1:17">
      <c r="A34" s="519">
        <f>+A32+1</f>
        <v>13</v>
      </c>
      <c r="C34" s="516" t="s">
        <v>866</v>
      </c>
      <c r="D34" s="535"/>
      <c r="E34" s="536">
        <f>+G71/G77</f>
        <v>8.4317767661772056E-2</v>
      </c>
      <c r="F34" s="537"/>
      <c r="G34" s="536">
        <f>+I71/I77</f>
        <v>7.4422057979818435E-2</v>
      </c>
      <c r="H34" s="536"/>
      <c r="I34" s="536">
        <f>+M71/M77</f>
        <v>4.4761921229586936E-2</v>
      </c>
      <c r="J34" s="537"/>
      <c r="K34" s="536">
        <f>+O71/O77</f>
        <v>5.4859840780938973E-2</v>
      </c>
      <c r="L34" s="536"/>
      <c r="M34" s="536">
        <v>5.1664383794011622E-2</v>
      </c>
      <c r="N34" s="536"/>
      <c r="O34" s="536">
        <v>0.11707822226482062</v>
      </c>
      <c r="P34" s="531"/>
      <c r="Q34" s="519">
        <f>+A34</f>
        <v>13</v>
      </c>
    </row>
    <row r="35" spans="1:17">
      <c r="A35" s="519">
        <f>+A34+1</f>
        <v>14</v>
      </c>
      <c r="C35" s="516" t="s">
        <v>867</v>
      </c>
      <c r="D35" s="535"/>
      <c r="E35" s="536">
        <f>+G71/G78</f>
        <v>8.8028677251449111E-2</v>
      </c>
      <c r="F35" s="537"/>
      <c r="G35" s="536">
        <f>+I71/I78</f>
        <v>7.5966984056992468E-2</v>
      </c>
      <c r="H35" s="536"/>
      <c r="I35" s="536">
        <f>+M71/M78</f>
        <v>4.5786698107366595E-2</v>
      </c>
      <c r="J35" s="537"/>
      <c r="K35" s="536">
        <f>+O71/O78</f>
        <v>5.6407115891602723E-2</v>
      </c>
      <c r="L35" s="536"/>
      <c r="M35" s="536">
        <v>5.2937854828225245E-2</v>
      </c>
      <c r="N35" s="536"/>
      <c r="O35" s="536">
        <v>0.12413997453951996</v>
      </c>
      <c r="P35" s="531"/>
      <c r="Q35" s="519">
        <f>+A35</f>
        <v>14</v>
      </c>
    </row>
    <row r="36" spans="1:17">
      <c r="E36" s="517"/>
      <c r="G36" s="517"/>
      <c r="H36" s="517"/>
      <c r="I36" s="517"/>
      <c r="K36" s="517"/>
      <c r="L36" s="517"/>
      <c r="M36" s="517"/>
      <c r="N36" s="517"/>
      <c r="O36" s="517"/>
    </row>
    <row r="37" spans="1:17">
      <c r="A37" s="519">
        <f>+A35+1</f>
        <v>15</v>
      </c>
      <c r="C37" s="516" t="s">
        <v>868</v>
      </c>
      <c r="E37" s="539">
        <f>+G74/G73</f>
        <v>4.1257351450010136</v>
      </c>
      <c r="F37" s="540"/>
      <c r="G37" s="539">
        <f>+I74/I73</f>
        <v>3.5309205903021783</v>
      </c>
      <c r="H37" s="539"/>
      <c r="I37" s="539">
        <f>+M74/M73</f>
        <v>2.4778376457630662</v>
      </c>
      <c r="J37" s="540"/>
      <c r="K37" s="539">
        <f>+O74/O73</f>
        <v>2.6989471864558667</v>
      </c>
      <c r="L37" s="541"/>
      <c r="M37" s="541">
        <f>+R74/R73</f>
        <v>2.5106818846941761</v>
      </c>
      <c r="N37" s="541"/>
      <c r="O37" s="541">
        <f>+T74/T73</f>
        <v>5.1328015016424215</v>
      </c>
      <c r="P37" s="542"/>
      <c r="Q37" s="519">
        <f>+A37</f>
        <v>15</v>
      </c>
    </row>
    <row r="38" spans="1:17">
      <c r="A38" s="519">
        <f>+A37+1</f>
        <v>16</v>
      </c>
      <c r="C38" s="516" t="s">
        <v>869</v>
      </c>
      <c r="E38" s="539">
        <f>+(G74-G72)/G73</f>
        <v>3.4303386736970189</v>
      </c>
      <c r="F38" s="540"/>
      <c r="G38" s="539">
        <f>+(I74-I72)/I73</f>
        <v>2.9371047083626141</v>
      </c>
      <c r="H38" s="539"/>
      <c r="I38" s="539">
        <f>+(M74-M72)/M73</f>
        <v>2.1393092309809996</v>
      </c>
      <c r="J38" s="540"/>
      <c r="K38" s="539">
        <f>+(O74-O72)/O73</f>
        <v>2.4112464094283279</v>
      </c>
      <c r="L38" s="541"/>
      <c r="M38" s="541">
        <f>+(R74-R72)/R73</f>
        <v>2.2319285923324554</v>
      </c>
      <c r="N38" s="541"/>
      <c r="O38" s="541">
        <f>+(T74-T72)/T73</f>
        <v>4.2052244642577818</v>
      </c>
      <c r="P38" s="542"/>
      <c r="Q38" s="519">
        <f>+A38</f>
        <v>16</v>
      </c>
    </row>
    <row r="39" spans="1:17">
      <c r="A39" s="519"/>
      <c r="I39" s="521"/>
      <c r="K39" s="543"/>
      <c r="Q39" s="519"/>
    </row>
    <row r="40" spans="1:17">
      <c r="A40" s="519"/>
      <c r="C40" s="516" t="s">
        <v>1827</v>
      </c>
      <c r="Q40" s="519"/>
    </row>
    <row r="41" spans="1:17">
      <c r="A41" s="519"/>
      <c r="C41" s="525" t="s">
        <v>1826</v>
      </c>
      <c r="Q41" s="519"/>
    </row>
    <row r="42" spans="1:17">
      <c r="A42" s="519"/>
      <c r="E42" s="544"/>
      <c r="Q42" s="519"/>
    </row>
    <row r="43" spans="1:17">
      <c r="A43" s="519"/>
      <c r="Q43" s="519"/>
    </row>
    <row r="44" spans="1:17">
      <c r="D44" s="545" t="s">
        <v>826</v>
      </c>
    </row>
    <row r="45" spans="1:17">
      <c r="D45" s="519" t="s">
        <v>870</v>
      </c>
    </row>
    <row r="46" spans="1:17">
      <c r="D46" s="519" t="s">
        <v>828</v>
      </c>
    </row>
    <row r="47" spans="1:17">
      <c r="D47" s="519" t="s">
        <v>1903</v>
      </c>
    </row>
    <row r="50" spans="1:1">
      <c r="A50" s="547" t="s">
        <v>871</v>
      </c>
    </row>
    <row r="52" spans="1:1">
      <c r="A52" s="547" t="s">
        <v>835</v>
      </c>
    </row>
    <row r="53" spans="1:1">
      <c r="A53" s="548" t="s">
        <v>872</v>
      </c>
    </row>
    <row r="54" spans="1:1">
      <c r="A54" s="548" t="s">
        <v>873</v>
      </c>
    </row>
    <row r="55" spans="1:1">
      <c r="A55" s="548" t="s">
        <v>874</v>
      </c>
    </row>
    <row r="56" spans="1:1">
      <c r="A56" s="548" t="s">
        <v>875</v>
      </c>
    </row>
    <row r="57" spans="1:1">
      <c r="A57" s="548" t="s">
        <v>876</v>
      </c>
    </row>
    <row r="58" spans="1:1">
      <c r="A58" s="548" t="s">
        <v>877</v>
      </c>
    </row>
    <row r="59" spans="1:1">
      <c r="A59" s="548" t="s">
        <v>1899</v>
      </c>
    </row>
    <row r="60" spans="1:1">
      <c r="A60" s="548" t="s">
        <v>1900</v>
      </c>
    </row>
    <row r="61" spans="1:1">
      <c r="A61" s="548" t="s">
        <v>1897</v>
      </c>
    </row>
    <row r="62" spans="1:1">
      <c r="A62" s="548" t="s">
        <v>1898</v>
      </c>
    </row>
    <row r="65" spans="3:20" ht="10.8" thickBot="1">
      <c r="C65" s="517"/>
      <c r="E65" s="1167" t="s">
        <v>878</v>
      </c>
      <c r="F65" s="1168"/>
      <c r="G65" s="1168"/>
      <c r="H65" s="1168"/>
      <c r="I65" s="1168"/>
      <c r="J65" s="1168"/>
      <c r="K65" s="1168"/>
      <c r="L65" s="1168"/>
      <c r="M65" s="1168"/>
      <c r="N65" s="1168"/>
      <c r="O65" s="1168"/>
      <c r="P65" s="1168"/>
      <c r="Q65" s="1168"/>
      <c r="R65" s="1168"/>
      <c r="S65" s="1168"/>
      <c r="T65" s="1169"/>
    </row>
    <row r="66" spans="3:20">
      <c r="C66" s="517"/>
      <c r="D66" s="517"/>
      <c r="E66" s="517"/>
      <c r="O66" s="518"/>
      <c r="P66" s="518"/>
      <c r="R66" s="522" t="s">
        <v>846</v>
      </c>
      <c r="S66" s="522"/>
      <c r="T66" s="518"/>
    </row>
    <row r="67" spans="3:20">
      <c r="C67" s="517"/>
      <c r="D67" s="517"/>
      <c r="E67" s="1170" t="s">
        <v>847</v>
      </c>
      <c r="F67" s="1170"/>
      <c r="G67" s="1170"/>
      <c r="H67" s="1170"/>
      <c r="I67" s="1170"/>
      <c r="J67" s="518" t="s">
        <v>181</v>
      </c>
      <c r="K67" s="516" t="s">
        <v>879</v>
      </c>
      <c r="M67" s="520" t="s">
        <v>848</v>
      </c>
      <c r="N67" s="518"/>
      <c r="O67" s="518"/>
      <c r="R67" s="1171" t="s">
        <v>1439</v>
      </c>
      <c r="S67" s="1171"/>
      <c r="T67" s="1171"/>
    </row>
    <row r="68" spans="3:20">
      <c r="C68" s="517"/>
      <c r="D68" s="517"/>
      <c r="E68" s="1171" t="s">
        <v>850</v>
      </c>
      <c r="F68" s="1171"/>
      <c r="G68" s="1171"/>
      <c r="H68" s="1171"/>
      <c r="I68" s="1171"/>
      <c r="J68" s="518" t="s">
        <v>181</v>
      </c>
      <c r="K68" s="867" t="s">
        <v>849</v>
      </c>
      <c r="M68" s="866" t="s">
        <v>1440</v>
      </c>
      <c r="N68" s="868"/>
      <c r="O68" s="868"/>
      <c r="R68" s="519" t="s">
        <v>851</v>
      </c>
      <c r="T68" s="519" t="s">
        <v>816</v>
      </c>
    </row>
    <row r="69" spans="3:20">
      <c r="C69" s="517"/>
      <c r="D69" s="517"/>
      <c r="E69" s="869">
        <v>2021</v>
      </c>
      <c r="G69" s="869">
        <v>2022</v>
      </c>
      <c r="H69" s="870"/>
      <c r="I69" s="869">
        <v>2023</v>
      </c>
      <c r="K69" s="523" t="s">
        <v>880</v>
      </c>
      <c r="M69" s="523" t="s">
        <v>880</v>
      </c>
      <c r="N69" s="524"/>
      <c r="O69" s="523" t="s">
        <v>152</v>
      </c>
      <c r="R69" s="523" t="s">
        <v>881</v>
      </c>
      <c r="T69" s="523" t="s">
        <v>881</v>
      </c>
    </row>
    <row r="70" spans="3:20">
      <c r="C70" s="517"/>
      <c r="D70" s="517"/>
      <c r="E70" s="517"/>
      <c r="G70" s="534"/>
      <c r="H70" s="534"/>
      <c r="I70" s="534"/>
      <c r="K70" s="534"/>
      <c r="M70" s="534"/>
      <c r="N70" s="534"/>
      <c r="O70" s="534"/>
      <c r="T70" s="534"/>
    </row>
    <row r="71" spans="3:20">
      <c r="C71" s="517" t="s">
        <v>860</v>
      </c>
      <c r="D71" s="517"/>
      <c r="E71" s="554"/>
      <c r="G71" s="526">
        <f>+E24</f>
        <v>11984</v>
      </c>
      <c r="I71" s="526">
        <f>+G24</f>
        <v>11026</v>
      </c>
      <c r="K71" s="554"/>
      <c r="M71" s="526">
        <f>+I24</f>
        <v>6942.9768400000003</v>
      </c>
      <c r="O71" s="526">
        <f>+K24</f>
        <v>8600.1683035230708</v>
      </c>
      <c r="R71" s="526">
        <f>+M24</f>
        <v>8419</v>
      </c>
      <c r="T71" s="526">
        <f>+O24</f>
        <v>20491</v>
      </c>
    </row>
    <row r="72" spans="3:20">
      <c r="C72" s="549" t="s">
        <v>882</v>
      </c>
      <c r="D72" s="549"/>
      <c r="E72" s="554"/>
      <c r="G72" s="550">
        <f>'E2'!D22</f>
        <v>3429</v>
      </c>
      <c r="I72" s="550">
        <f>'E2'!C22</f>
        <v>3380</v>
      </c>
      <c r="K72" s="554"/>
      <c r="M72" s="550">
        <f>+'C1'!$J$22</f>
        <v>2063</v>
      </c>
      <c r="O72" s="550">
        <f>'C1'!N22</f>
        <v>1753.2551983558189</v>
      </c>
      <c r="R72" s="550">
        <f>'F1'!$G$20</f>
        <v>1905</v>
      </c>
      <c r="T72" s="550">
        <f>'F1'!$I$20</f>
        <v>5930</v>
      </c>
    </row>
    <row r="73" spans="3:20">
      <c r="C73" s="549" t="s">
        <v>883</v>
      </c>
      <c r="D73" s="549"/>
      <c r="E73" s="980"/>
      <c r="G73" s="551">
        <f>+E22</f>
        <v>4931</v>
      </c>
      <c r="I73" s="551">
        <f>+G22</f>
        <v>5692</v>
      </c>
      <c r="K73" s="980"/>
      <c r="M73" s="551">
        <f>+I22</f>
        <v>6094.0231599999997</v>
      </c>
      <c r="O73" s="551">
        <f>+K22</f>
        <v>6094.0231599999997</v>
      </c>
      <c r="R73" s="551">
        <f>+M22</f>
        <v>6834</v>
      </c>
      <c r="T73" s="551">
        <f>+O22</f>
        <v>6393</v>
      </c>
    </row>
    <row r="74" spans="3:20">
      <c r="C74" s="517" t="s">
        <v>884</v>
      </c>
      <c r="D74" s="517"/>
      <c r="E74" s="554">
        <f>SUM(E71:E73)</f>
        <v>0</v>
      </c>
      <c r="G74" s="552">
        <f>SUM(G71:G73)</f>
        <v>20344</v>
      </c>
      <c r="H74" s="526"/>
      <c r="I74" s="552">
        <f>SUM(I71:I73)</f>
        <v>20098</v>
      </c>
      <c r="K74" s="554">
        <f>SUM(K71:K73)</f>
        <v>0</v>
      </c>
      <c r="M74" s="552">
        <f>SUM(M71:M73)</f>
        <v>15100</v>
      </c>
      <c r="N74" s="526"/>
      <c r="O74" s="552">
        <f>SUM(O71:O73)</f>
        <v>16447.44666187889</v>
      </c>
      <c r="R74" s="552">
        <f>SUM(R71:R73)</f>
        <v>17158</v>
      </c>
      <c r="T74" s="552">
        <f>SUM(T71:T73)</f>
        <v>32814</v>
      </c>
    </row>
    <row r="75" spans="3:20">
      <c r="C75" s="517"/>
      <c r="D75" s="517"/>
      <c r="E75" s="517"/>
      <c r="G75" s="553"/>
      <c r="H75" s="553"/>
      <c r="I75" s="553"/>
      <c r="K75" s="553"/>
      <c r="M75" s="553"/>
      <c r="N75" s="553"/>
      <c r="O75" s="552"/>
      <c r="R75" s="553"/>
      <c r="T75" s="553"/>
    </row>
    <row r="76" spans="3:20">
      <c r="E76" s="554"/>
    </row>
    <row r="77" spans="3:20">
      <c r="C77" s="517" t="s">
        <v>885</v>
      </c>
      <c r="D77" s="517"/>
      <c r="E77" s="554">
        <f>130145908/1000</f>
        <v>130145.908</v>
      </c>
      <c r="G77" s="526">
        <f>'E1'!D49</f>
        <v>142129</v>
      </c>
      <c r="I77" s="526">
        <f>'E1'!C49</f>
        <v>148155</v>
      </c>
      <c r="K77" s="554">
        <f>148165843/1000</f>
        <v>148165.84299999999</v>
      </c>
      <c r="M77" s="526">
        <f>'E1'!B49</f>
        <v>155109</v>
      </c>
      <c r="O77" s="526">
        <f>+M77-(I24-K24)</f>
        <v>156766.19146352308</v>
      </c>
      <c r="R77" s="526"/>
      <c r="T77" s="526"/>
    </row>
    <row r="78" spans="3:20">
      <c r="C78" s="517" t="s">
        <v>886</v>
      </c>
      <c r="D78" s="517"/>
      <c r="E78" s="554"/>
      <c r="G78" s="526">
        <f>AVERAGE(E77:G77)</f>
        <v>136137.454</v>
      </c>
      <c r="I78" s="526">
        <f>AVERAGE(G77:I77)</f>
        <v>145142</v>
      </c>
      <c r="K78" s="526"/>
      <c r="M78" s="526">
        <f>AVERAGE(K77:M77)</f>
        <v>151637.4215</v>
      </c>
      <c r="O78" s="526">
        <f>(O77+K77)/2</f>
        <v>152466.01723176154</v>
      </c>
      <c r="R78" s="526"/>
      <c r="T78" s="526"/>
    </row>
    <row r="80" spans="3:20">
      <c r="C80" s="549" t="s">
        <v>887</v>
      </c>
      <c r="D80" s="549"/>
      <c r="E80" s="1056">
        <f>E88/1000</f>
        <v>225935.60399999999</v>
      </c>
      <c r="G80" s="526">
        <f>'E1'!D52</f>
        <v>238981</v>
      </c>
      <c r="I80" s="526">
        <f>'E1'!C52</f>
        <v>244679</v>
      </c>
      <c r="K80" s="526">
        <f>K88/1000</f>
        <v>244804.52</v>
      </c>
      <c r="M80" s="526">
        <f>'E1'!B52</f>
        <v>282157</v>
      </c>
      <c r="O80" s="526">
        <f>+M80+(O77-M77)</f>
        <v>283814.19146352308</v>
      </c>
      <c r="R80" s="526">
        <f>+'A3'!K20</f>
        <v>287218.728</v>
      </c>
      <c r="T80" s="526">
        <f>+'A3'!M20</f>
        <v>299291.02067573031</v>
      </c>
    </row>
    <row r="81" spans="3:20">
      <c r="C81" s="549" t="s">
        <v>888</v>
      </c>
      <c r="D81" s="549"/>
      <c r="E81" s="549"/>
      <c r="G81" s="526">
        <f>AVERAGE(E80:G80)</f>
        <v>232458.302</v>
      </c>
      <c r="I81" s="526">
        <f>AVERAGE(G80:I80)</f>
        <v>241830</v>
      </c>
      <c r="K81" s="526"/>
      <c r="M81" s="526">
        <f>AVERAGE(K80:M80)</f>
        <v>263480.76</v>
      </c>
      <c r="O81" s="526">
        <f>(O80+K80)/2</f>
        <v>264309.35573176155</v>
      </c>
      <c r="R81" s="526">
        <f>AVERAGE(O80,R80)</f>
        <v>285516.45973176154</v>
      </c>
      <c r="T81" s="526">
        <f>AVERAGE(O80,T80)</f>
        <v>291552.60606962669</v>
      </c>
    </row>
    <row r="83" spans="3:20">
      <c r="E83" s="526"/>
      <c r="I83" s="536"/>
      <c r="M83" s="536"/>
      <c r="N83" s="526"/>
      <c r="O83" s="526"/>
      <c r="P83" s="526"/>
      <c r="Q83" s="526"/>
    </row>
    <row r="84" spans="3:20">
      <c r="E84" s="1054">
        <v>2021</v>
      </c>
      <c r="I84" s="526"/>
      <c r="J84" s="526"/>
      <c r="K84" s="1055">
        <v>45078</v>
      </c>
      <c r="L84" s="526"/>
      <c r="M84" s="556"/>
      <c r="O84" s="526"/>
      <c r="P84" s="526"/>
      <c r="Q84" s="526"/>
      <c r="R84" s="526"/>
    </row>
    <row r="85" spans="3:20">
      <c r="C85" s="1053" t="s">
        <v>1887</v>
      </c>
      <c r="E85" s="730">
        <v>130145908</v>
      </c>
      <c r="I85" s="526"/>
      <c r="J85" s="526"/>
      <c r="K85" s="730">
        <v>148165843</v>
      </c>
      <c r="L85" s="526"/>
      <c r="M85" s="557"/>
      <c r="N85" s="526"/>
      <c r="O85" s="526"/>
      <c r="P85" s="526"/>
      <c r="Q85" s="526"/>
      <c r="R85" s="526"/>
    </row>
    <row r="86" spans="3:20">
      <c r="C86" s="1053" t="s">
        <v>927</v>
      </c>
      <c r="E86" s="730">
        <v>95000000</v>
      </c>
      <c r="I86" s="526"/>
      <c r="J86" s="526"/>
      <c r="K86" s="730">
        <v>95000000</v>
      </c>
      <c r="L86" s="526"/>
      <c r="M86" s="526"/>
      <c r="N86" s="526"/>
      <c r="O86" s="536"/>
      <c r="P86" s="526"/>
      <c r="Q86" s="526"/>
      <c r="R86" s="526"/>
    </row>
    <row r="87" spans="3:20">
      <c r="C87" s="1053" t="s">
        <v>1888</v>
      </c>
      <c r="E87" s="1052">
        <v>789696</v>
      </c>
      <c r="I87" s="526"/>
      <c r="J87" s="526"/>
      <c r="K87" s="1052">
        <v>1638677</v>
      </c>
      <c r="L87" s="526"/>
      <c r="O87" s="517"/>
      <c r="P87" s="526"/>
      <c r="Q87" s="526"/>
      <c r="R87" s="526"/>
    </row>
    <row r="88" spans="3:20">
      <c r="E88" s="730">
        <f>SUM(E85:E87)</f>
        <v>225935604</v>
      </c>
      <c r="I88" s="526"/>
      <c r="J88" s="526"/>
      <c r="K88" s="730">
        <f>SUM(K85:K87)</f>
        <v>244804520</v>
      </c>
      <c r="L88" s="526"/>
      <c r="P88" s="526"/>
      <c r="Q88" s="526"/>
      <c r="R88" s="526"/>
    </row>
  </sheetData>
  <mergeCells count="14">
    <mergeCell ref="A3:Q3"/>
    <mergeCell ref="A4:Q4"/>
    <mergeCell ref="A5:Q5"/>
    <mergeCell ref="A6:Q6"/>
    <mergeCell ref="A7:Q7"/>
    <mergeCell ref="E65:T65"/>
    <mergeCell ref="E67:I67"/>
    <mergeCell ref="E68:I68"/>
    <mergeCell ref="M9:O9"/>
    <mergeCell ref="I11:K11"/>
    <mergeCell ref="M10:O10"/>
    <mergeCell ref="R67:T67"/>
    <mergeCell ref="E10:G11"/>
    <mergeCell ref="I10:K10"/>
  </mergeCells>
  <printOptions horizontalCentered="1"/>
  <pageMargins left="0.7" right="0.7" top="0.75" bottom="0.75" header="0.3" footer="0.3"/>
  <pageSetup scale="94" fitToHeight="0" orientation="landscape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8E56D-6A75-403D-87AF-D48639353FBD}">
  <sheetPr>
    <tabColor rgb="FFFFFFCC"/>
    <pageSetUpPr fitToPage="1"/>
  </sheetPr>
  <dimension ref="A1:O83"/>
  <sheetViews>
    <sheetView showGridLines="0" zoomScaleNormal="100" zoomScaleSheetLayoutView="100" workbookViewId="0"/>
  </sheetViews>
  <sheetFormatPr defaultRowHeight="10.199999999999999"/>
  <cols>
    <col min="1" max="1" width="3.88671875" style="516" customWidth="1"/>
    <col min="2" max="2" width="2.88671875" style="516" customWidth="1"/>
    <col min="3" max="3" width="34.33203125" style="516" customWidth="1"/>
    <col min="4" max="4" width="2.88671875" style="516" customWidth="1"/>
    <col min="5" max="5" width="11.44140625" style="516" customWidth="1"/>
    <col min="6" max="6" width="2.88671875" style="516" customWidth="1"/>
    <col min="7" max="7" width="11.44140625" style="516" customWidth="1"/>
    <col min="8" max="8" width="2.88671875" style="516" customWidth="1"/>
    <col min="9" max="9" width="11.44140625" style="516" customWidth="1"/>
    <col min="10" max="10" width="2.88671875" style="516" customWidth="1"/>
    <col min="11" max="11" width="11.44140625" style="516" customWidth="1"/>
    <col min="12" max="12" width="2.88671875" style="516" customWidth="1"/>
    <col min="13" max="13" width="11.44140625" style="516" customWidth="1"/>
    <col min="14" max="14" width="2.88671875" style="516" customWidth="1"/>
    <col min="15" max="15" width="3.88671875" style="516" customWidth="1"/>
    <col min="16" max="249" width="8.6640625" style="516"/>
    <col min="250" max="250" width="4.33203125" style="516" customWidth="1"/>
    <col min="251" max="251" width="2.88671875" style="516" customWidth="1"/>
    <col min="252" max="252" width="34.33203125" style="516" customWidth="1"/>
    <col min="253" max="253" width="11.44140625" style="516" customWidth="1"/>
    <col min="254" max="254" width="2.88671875" style="516" customWidth="1"/>
    <col min="255" max="255" width="11.44140625" style="516" customWidth="1"/>
    <col min="256" max="256" width="2.88671875" style="516" customWidth="1"/>
    <col min="257" max="257" width="11.44140625" style="516" customWidth="1"/>
    <col min="258" max="258" width="2.88671875" style="516" customWidth="1"/>
    <col min="259" max="259" width="11.44140625" style="516" customWidth="1"/>
    <col min="260" max="260" width="2.109375" style="516" customWidth="1"/>
    <col min="261" max="261" width="11.44140625" style="516" customWidth="1"/>
    <col min="262" max="262" width="3.88671875" style="516" customWidth="1"/>
    <col min="263" max="264" width="4.33203125" style="516" customWidth="1"/>
    <col min="265" max="265" width="11.44140625" style="516" customWidth="1"/>
    <col min="266" max="268" width="10.6640625" style="516" customWidth="1"/>
    <col min="269" max="505" width="8.6640625" style="516"/>
    <col min="506" max="506" width="4.33203125" style="516" customWidth="1"/>
    <col min="507" max="507" width="2.88671875" style="516" customWidth="1"/>
    <col min="508" max="508" width="34.33203125" style="516" customWidth="1"/>
    <col min="509" max="509" width="11.44140625" style="516" customWidth="1"/>
    <col min="510" max="510" width="2.88671875" style="516" customWidth="1"/>
    <col min="511" max="511" width="11.44140625" style="516" customWidth="1"/>
    <col min="512" max="512" width="2.88671875" style="516" customWidth="1"/>
    <col min="513" max="513" width="11.44140625" style="516" customWidth="1"/>
    <col min="514" max="514" width="2.88671875" style="516" customWidth="1"/>
    <col min="515" max="515" width="11.44140625" style="516" customWidth="1"/>
    <col min="516" max="516" width="2.109375" style="516" customWidth="1"/>
    <col min="517" max="517" width="11.44140625" style="516" customWidth="1"/>
    <col min="518" max="518" width="3.88671875" style="516" customWidth="1"/>
    <col min="519" max="520" width="4.33203125" style="516" customWidth="1"/>
    <col min="521" max="521" width="11.44140625" style="516" customWidth="1"/>
    <col min="522" max="524" width="10.6640625" style="516" customWidth="1"/>
    <col min="525" max="761" width="8.6640625" style="516"/>
    <col min="762" max="762" width="4.33203125" style="516" customWidth="1"/>
    <col min="763" max="763" width="2.88671875" style="516" customWidth="1"/>
    <col min="764" max="764" width="34.33203125" style="516" customWidth="1"/>
    <col min="765" max="765" width="11.44140625" style="516" customWidth="1"/>
    <col min="766" max="766" width="2.88671875" style="516" customWidth="1"/>
    <col min="767" max="767" width="11.44140625" style="516" customWidth="1"/>
    <col min="768" max="768" width="2.88671875" style="516" customWidth="1"/>
    <col min="769" max="769" width="11.44140625" style="516" customWidth="1"/>
    <col min="770" max="770" width="2.88671875" style="516" customWidth="1"/>
    <col min="771" max="771" width="11.44140625" style="516" customWidth="1"/>
    <col min="772" max="772" width="2.109375" style="516" customWidth="1"/>
    <col min="773" max="773" width="11.44140625" style="516" customWidth="1"/>
    <col min="774" max="774" width="3.88671875" style="516" customWidth="1"/>
    <col min="775" max="776" width="4.33203125" style="516" customWidth="1"/>
    <col min="777" max="777" width="11.44140625" style="516" customWidth="1"/>
    <col min="778" max="780" width="10.6640625" style="516" customWidth="1"/>
    <col min="781" max="1017" width="8.6640625" style="516"/>
    <col min="1018" max="1018" width="4.33203125" style="516" customWidth="1"/>
    <col min="1019" max="1019" width="2.88671875" style="516" customWidth="1"/>
    <col min="1020" max="1020" width="34.33203125" style="516" customWidth="1"/>
    <col min="1021" max="1021" width="11.44140625" style="516" customWidth="1"/>
    <col min="1022" max="1022" width="2.88671875" style="516" customWidth="1"/>
    <col min="1023" max="1023" width="11.44140625" style="516" customWidth="1"/>
    <col min="1024" max="1024" width="2.88671875" style="516" customWidth="1"/>
    <col min="1025" max="1025" width="11.44140625" style="516" customWidth="1"/>
    <col min="1026" max="1026" width="2.88671875" style="516" customWidth="1"/>
    <col min="1027" max="1027" width="11.44140625" style="516" customWidth="1"/>
    <col min="1028" max="1028" width="2.109375" style="516" customWidth="1"/>
    <col min="1029" max="1029" width="11.44140625" style="516" customWidth="1"/>
    <col min="1030" max="1030" width="3.88671875" style="516" customWidth="1"/>
    <col min="1031" max="1032" width="4.33203125" style="516" customWidth="1"/>
    <col min="1033" max="1033" width="11.44140625" style="516" customWidth="1"/>
    <col min="1034" max="1036" width="10.6640625" style="516" customWidth="1"/>
    <col min="1037" max="1273" width="8.6640625" style="516"/>
    <col min="1274" max="1274" width="4.33203125" style="516" customWidth="1"/>
    <col min="1275" max="1275" width="2.88671875" style="516" customWidth="1"/>
    <col min="1276" max="1276" width="34.33203125" style="516" customWidth="1"/>
    <col min="1277" max="1277" width="11.44140625" style="516" customWidth="1"/>
    <col min="1278" max="1278" width="2.88671875" style="516" customWidth="1"/>
    <col min="1279" max="1279" width="11.44140625" style="516" customWidth="1"/>
    <col min="1280" max="1280" width="2.88671875" style="516" customWidth="1"/>
    <col min="1281" max="1281" width="11.44140625" style="516" customWidth="1"/>
    <col min="1282" max="1282" width="2.88671875" style="516" customWidth="1"/>
    <col min="1283" max="1283" width="11.44140625" style="516" customWidth="1"/>
    <col min="1284" max="1284" width="2.109375" style="516" customWidth="1"/>
    <col min="1285" max="1285" width="11.44140625" style="516" customWidth="1"/>
    <col min="1286" max="1286" width="3.88671875" style="516" customWidth="1"/>
    <col min="1287" max="1288" width="4.33203125" style="516" customWidth="1"/>
    <col min="1289" max="1289" width="11.44140625" style="516" customWidth="1"/>
    <col min="1290" max="1292" width="10.6640625" style="516" customWidth="1"/>
    <col min="1293" max="1529" width="8.6640625" style="516"/>
    <col min="1530" max="1530" width="4.33203125" style="516" customWidth="1"/>
    <col min="1531" max="1531" width="2.88671875" style="516" customWidth="1"/>
    <col min="1532" max="1532" width="34.33203125" style="516" customWidth="1"/>
    <col min="1533" max="1533" width="11.44140625" style="516" customWidth="1"/>
    <col min="1534" max="1534" width="2.88671875" style="516" customWidth="1"/>
    <col min="1535" max="1535" width="11.44140625" style="516" customWidth="1"/>
    <col min="1536" max="1536" width="2.88671875" style="516" customWidth="1"/>
    <col min="1537" max="1537" width="11.44140625" style="516" customWidth="1"/>
    <col min="1538" max="1538" width="2.88671875" style="516" customWidth="1"/>
    <col min="1539" max="1539" width="11.44140625" style="516" customWidth="1"/>
    <col min="1540" max="1540" width="2.109375" style="516" customWidth="1"/>
    <col min="1541" max="1541" width="11.44140625" style="516" customWidth="1"/>
    <col min="1542" max="1542" width="3.88671875" style="516" customWidth="1"/>
    <col min="1543" max="1544" width="4.33203125" style="516" customWidth="1"/>
    <col min="1545" max="1545" width="11.44140625" style="516" customWidth="1"/>
    <col min="1546" max="1548" width="10.6640625" style="516" customWidth="1"/>
    <col min="1549" max="1785" width="8.6640625" style="516"/>
    <col min="1786" max="1786" width="4.33203125" style="516" customWidth="1"/>
    <col min="1787" max="1787" width="2.88671875" style="516" customWidth="1"/>
    <col min="1788" max="1788" width="34.33203125" style="516" customWidth="1"/>
    <col min="1789" max="1789" width="11.44140625" style="516" customWidth="1"/>
    <col min="1790" max="1790" width="2.88671875" style="516" customWidth="1"/>
    <col min="1791" max="1791" width="11.44140625" style="516" customWidth="1"/>
    <col min="1792" max="1792" width="2.88671875" style="516" customWidth="1"/>
    <col min="1793" max="1793" width="11.44140625" style="516" customWidth="1"/>
    <col min="1794" max="1794" width="2.88671875" style="516" customWidth="1"/>
    <col min="1795" max="1795" width="11.44140625" style="516" customWidth="1"/>
    <col min="1796" max="1796" width="2.109375" style="516" customWidth="1"/>
    <col min="1797" max="1797" width="11.44140625" style="516" customWidth="1"/>
    <col min="1798" max="1798" width="3.88671875" style="516" customWidth="1"/>
    <col min="1799" max="1800" width="4.33203125" style="516" customWidth="1"/>
    <col min="1801" max="1801" width="11.44140625" style="516" customWidth="1"/>
    <col min="1802" max="1804" width="10.6640625" style="516" customWidth="1"/>
    <col min="1805" max="2041" width="8.6640625" style="516"/>
    <col min="2042" max="2042" width="4.33203125" style="516" customWidth="1"/>
    <col min="2043" max="2043" width="2.88671875" style="516" customWidth="1"/>
    <col min="2044" max="2044" width="34.33203125" style="516" customWidth="1"/>
    <col min="2045" max="2045" width="11.44140625" style="516" customWidth="1"/>
    <col min="2046" max="2046" width="2.88671875" style="516" customWidth="1"/>
    <col min="2047" max="2047" width="11.44140625" style="516" customWidth="1"/>
    <col min="2048" max="2048" width="2.88671875" style="516" customWidth="1"/>
    <col min="2049" max="2049" width="11.44140625" style="516" customWidth="1"/>
    <col min="2050" max="2050" width="2.88671875" style="516" customWidth="1"/>
    <col min="2051" max="2051" width="11.44140625" style="516" customWidth="1"/>
    <col min="2052" max="2052" width="2.109375" style="516" customWidth="1"/>
    <col min="2053" max="2053" width="11.44140625" style="516" customWidth="1"/>
    <col min="2054" max="2054" width="3.88671875" style="516" customWidth="1"/>
    <col min="2055" max="2056" width="4.33203125" style="516" customWidth="1"/>
    <col min="2057" max="2057" width="11.44140625" style="516" customWidth="1"/>
    <col min="2058" max="2060" width="10.6640625" style="516" customWidth="1"/>
    <col min="2061" max="2297" width="8.6640625" style="516"/>
    <col min="2298" max="2298" width="4.33203125" style="516" customWidth="1"/>
    <col min="2299" max="2299" width="2.88671875" style="516" customWidth="1"/>
    <col min="2300" max="2300" width="34.33203125" style="516" customWidth="1"/>
    <col min="2301" max="2301" width="11.44140625" style="516" customWidth="1"/>
    <col min="2302" max="2302" width="2.88671875" style="516" customWidth="1"/>
    <col min="2303" max="2303" width="11.44140625" style="516" customWidth="1"/>
    <col min="2304" max="2304" width="2.88671875" style="516" customWidth="1"/>
    <col min="2305" max="2305" width="11.44140625" style="516" customWidth="1"/>
    <col min="2306" max="2306" width="2.88671875" style="516" customWidth="1"/>
    <col min="2307" max="2307" width="11.44140625" style="516" customWidth="1"/>
    <col min="2308" max="2308" width="2.109375" style="516" customWidth="1"/>
    <col min="2309" max="2309" width="11.44140625" style="516" customWidth="1"/>
    <col min="2310" max="2310" width="3.88671875" style="516" customWidth="1"/>
    <col min="2311" max="2312" width="4.33203125" style="516" customWidth="1"/>
    <col min="2313" max="2313" width="11.44140625" style="516" customWidth="1"/>
    <col min="2314" max="2316" width="10.6640625" style="516" customWidth="1"/>
    <col min="2317" max="2553" width="8.6640625" style="516"/>
    <col min="2554" max="2554" width="4.33203125" style="516" customWidth="1"/>
    <col min="2555" max="2555" width="2.88671875" style="516" customWidth="1"/>
    <col min="2556" max="2556" width="34.33203125" style="516" customWidth="1"/>
    <col min="2557" max="2557" width="11.44140625" style="516" customWidth="1"/>
    <col min="2558" max="2558" width="2.88671875" style="516" customWidth="1"/>
    <col min="2559" max="2559" width="11.44140625" style="516" customWidth="1"/>
    <col min="2560" max="2560" width="2.88671875" style="516" customWidth="1"/>
    <col min="2561" max="2561" width="11.44140625" style="516" customWidth="1"/>
    <col min="2562" max="2562" width="2.88671875" style="516" customWidth="1"/>
    <col min="2563" max="2563" width="11.44140625" style="516" customWidth="1"/>
    <col min="2564" max="2564" width="2.109375" style="516" customWidth="1"/>
    <col min="2565" max="2565" width="11.44140625" style="516" customWidth="1"/>
    <col min="2566" max="2566" width="3.88671875" style="516" customWidth="1"/>
    <col min="2567" max="2568" width="4.33203125" style="516" customWidth="1"/>
    <col min="2569" max="2569" width="11.44140625" style="516" customWidth="1"/>
    <col min="2570" max="2572" width="10.6640625" style="516" customWidth="1"/>
    <col min="2573" max="2809" width="8.6640625" style="516"/>
    <col min="2810" max="2810" width="4.33203125" style="516" customWidth="1"/>
    <col min="2811" max="2811" width="2.88671875" style="516" customWidth="1"/>
    <col min="2812" max="2812" width="34.33203125" style="516" customWidth="1"/>
    <col min="2813" max="2813" width="11.44140625" style="516" customWidth="1"/>
    <col min="2814" max="2814" width="2.88671875" style="516" customWidth="1"/>
    <col min="2815" max="2815" width="11.44140625" style="516" customWidth="1"/>
    <col min="2816" max="2816" width="2.88671875" style="516" customWidth="1"/>
    <col min="2817" max="2817" width="11.44140625" style="516" customWidth="1"/>
    <col min="2818" max="2818" width="2.88671875" style="516" customWidth="1"/>
    <col min="2819" max="2819" width="11.44140625" style="516" customWidth="1"/>
    <col min="2820" max="2820" width="2.109375" style="516" customWidth="1"/>
    <col min="2821" max="2821" width="11.44140625" style="516" customWidth="1"/>
    <col min="2822" max="2822" width="3.88671875" style="516" customWidth="1"/>
    <col min="2823" max="2824" width="4.33203125" style="516" customWidth="1"/>
    <col min="2825" max="2825" width="11.44140625" style="516" customWidth="1"/>
    <col min="2826" max="2828" width="10.6640625" style="516" customWidth="1"/>
    <col min="2829" max="3065" width="8.6640625" style="516"/>
    <col min="3066" max="3066" width="4.33203125" style="516" customWidth="1"/>
    <col min="3067" max="3067" width="2.88671875" style="516" customWidth="1"/>
    <col min="3068" max="3068" width="34.33203125" style="516" customWidth="1"/>
    <col min="3069" max="3069" width="11.44140625" style="516" customWidth="1"/>
    <col min="3070" max="3070" width="2.88671875" style="516" customWidth="1"/>
    <col min="3071" max="3071" width="11.44140625" style="516" customWidth="1"/>
    <col min="3072" max="3072" width="2.88671875" style="516" customWidth="1"/>
    <col min="3073" max="3073" width="11.44140625" style="516" customWidth="1"/>
    <col min="3074" max="3074" width="2.88671875" style="516" customWidth="1"/>
    <col min="3075" max="3075" width="11.44140625" style="516" customWidth="1"/>
    <col min="3076" max="3076" width="2.109375" style="516" customWidth="1"/>
    <col min="3077" max="3077" width="11.44140625" style="516" customWidth="1"/>
    <col min="3078" max="3078" width="3.88671875" style="516" customWidth="1"/>
    <col min="3079" max="3080" width="4.33203125" style="516" customWidth="1"/>
    <col min="3081" max="3081" width="11.44140625" style="516" customWidth="1"/>
    <col min="3082" max="3084" width="10.6640625" style="516" customWidth="1"/>
    <col min="3085" max="3321" width="8.6640625" style="516"/>
    <col min="3322" max="3322" width="4.33203125" style="516" customWidth="1"/>
    <col min="3323" max="3323" width="2.88671875" style="516" customWidth="1"/>
    <col min="3324" max="3324" width="34.33203125" style="516" customWidth="1"/>
    <col min="3325" max="3325" width="11.44140625" style="516" customWidth="1"/>
    <col min="3326" max="3326" width="2.88671875" style="516" customWidth="1"/>
    <col min="3327" max="3327" width="11.44140625" style="516" customWidth="1"/>
    <col min="3328" max="3328" width="2.88671875" style="516" customWidth="1"/>
    <col min="3329" max="3329" width="11.44140625" style="516" customWidth="1"/>
    <col min="3330" max="3330" width="2.88671875" style="516" customWidth="1"/>
    <col min="3331" max="3331" width="11.44140625" style="516" customWidth="1"/>
    <col min="3332" max="3332" width="2.109375" style="516" customWidth="1"/>
    <col min="3333" max="3333" width="11.44140625" style="516" customWidth="1"/>
    <col min="3334" max="3334" width="3.88671875" style="516" customWidth="1"/>
    <col min="3335" max="3336" width="4.33203125" style="516" customWidth="1"/>
    <col min="3337" max="3337" width="11.44140625" style="516" customWidth="1"/>
    <col min="3338" max="3340" width="10.6640625" style="516" customWidth="1"/>
    <col min="3341" max="3577" width="8.6640625" style="516"/>
    <col min="3578" max="3578" width="4.33203125" style="516" customWidth="1"/>
    <col min="3579" max="3579" width="2.88671875" style="516" customWidth="1"/>
    <col min="3580" max="3580" width="34.33203125" style="516" customWidth="1"/>
    <col min="3581" max="3581" width="11.44140625" style="516" customWidth="1"/>
    <col min="3582" max="3582" width="2.88671875" style="516" customWidth="1"/>
    <col min="3583" max="3583" width="11.44140625" style="516" customWidth="1"/>
    <col min="3584" max="3584" width="2.88671875" style="516" customWidth="1"/>
    <col min="3585" max="3585" width="11.44140625" style="516" customWidth="1"/>
    <col min="3586" max="3586" width="2.88671875" style="516" customWidth="1"/>
    <col min="3587" max="3587" width="11.44140625" style="516" customWidth="1"/>
    <col min="3588" max="3588" width="2.109375" style="516" customWidth="1"/>
    <col min="3589" max="3589" width="11.44140625" style="516" customWidth="1"/>
    <col min="3590" max="3590" width="3.88671875" style="516" customWidth="1"/>
    <col min="3591" max="3592" width="4.33203125" style="516" customWidth="1"/>
    <col min="3593" max="3593" width="11.44140625" style="516" customWidth="1"/>
    <col min="3594" max="3596" width="10.6640625" style="516" customWidth="1"/>
    <col min="3597" max="3833" width="8.6640625" style="516"/>
    <col min="3834" max="3834" width="4.33203125" style="516" customWidth="1"/>
    <col min="3835" max="3835" width="2.88671875" style="516" customWidth="1"/>
    <col min="3836" max="3836" width="34.33203125" style="516" customWidth="1"/>
    <col min="3837" max="3837" width="11.44140625" style="516" customWidth="1"/>
    <col min="3838" max="3838" width="2.88671875" style="516" customWidth="1"/>
    <col min="3839" max="3839" width="11.44140625" style="516" customWidth="1"/>
    <col min="3840" max="3840" width="2.88671875" style="516" customWidth="1"/>
    <col min="3841" max="3841" width="11.44140625" style="516" customWidth="1"/>
    <col min="3842" max="3842" width="2.88671875" style="516" customWidth="1"/>
    <col min="3843" max="3843" width="11.44140625" style="516" customWidth="1"/>
    <col min="3844" max="3844" width="2.109375" style="516" customWidth="1"/>
    <col min="3845" max="3845" width="11.44140625" style="516" customWidth="1"/>
    <col min="3846" max="3846" width="3.88671875" style="516" customWidth="1"/>
    <col min="3847" max="3848" width="4.33203125" style="516" customWidth="1"/>
    <col min="3849" max="3849" width="11.44140625" style="516" customWidth="1"/>
    <col min="3850" max="3852" width="10.6640625" style="516" customWidth="1"/>
    <col min="3853" max="4089" width="8.6640625" style="516"/>
    <col min="4090" max="4090" width="4.33203125" style="516" customWidth="1"/>
    <col min="4091" max="4091" width="2.88671875" style="516" customWidth="1"/>
    <col min="4092" max="4092" width="34.33203125" style="516" customWidth="1"/>
    <col min="4093" max="4093" width="11.44140625" style="516" customWidth="1"/>
    <col min="4094" max="4094" width="2.88671875" style="516" customWidth="1"/>
    <col min="4095" max="4095" width="11.44140625" style="516" customWidth="1"/>
    <col min="4096" max="4096" width="2.88671875" style="516" customWidth="1"/>
    <col min="4097" max="4097" width="11.44140625" style="516" customWidth="1"/>
    <col min="4098" max="4098" width="2.88671875" style="516" customWidth="1"/>
    <col min="4099" max="4099" width="11.44140625" style="516" customWidth="1"/>
    <col min="4100" max="4100" width="2.109375" style="516" customWidth="1"/>
    <col min="4101" max="4101" width="11.44140625" style="516" customWidth="1"/>
    <col min="4102" max="4102" width="3.88671875" style="516" customWidth="1"/>
    <col min="4103" max="4104" width="4.33203125" style="516" customWidth="1"/>
    <col min="4105" max="4105" width="11.44140625" style="516" customWidth="1"/>
    <col min="4106" max="4108" width="10.6640625" style="516" customWidth="1"/>
    <col min="4109" max="4345" width="8.6640625" style="516"/>
    <col min="4346" max="4346" width="4.33203125" style="516" customWidth="1"/>
    <col min="4347" max="4347" width="2.88671875" style="516" customWidth="1"/>
    <col min="4348" max="4348" width="34.33203125" style="516" customWidth="1"/>
    <col min="4349" max="4349" width="11.44140625" style="516" customWidth="1"/>
    <col min="4350" max="4350" width="2.88671875" style="516" customWidth="1"/>
    <col min="4351" max="4351" width="11.44140625" style="516" customWidth="1"/>
    <col min="4352" max="4352" width="2.88671875" style="516" customWidth="1"/>
    <col min="4353" max="4353" width="11.44140625" style="516" customWidth="1"/>
    <col min="4354" max="4354" width="2.88671875" style="516" customWidth="1"/>
    <col min="4355" max="4355" width="11.44140625" style="516" customWidth="1"/>
    <col min="4356" max="4356" width="2.109375" style="516" customWidth="1"/>
    <col min="4357" max="4357" width="11.44140625" style="516" customWidth="1"/>
    <col min="4358" max="4358" width="3.88671875" style="516" customWidth="1"/>
    <col min="4359" max="4360" width="4.33203125" style="516" customWidth="1"/>
    <col min="4361" max="4361" width="11.44140625" style="516" customWidth="1"/>
    <col min="4362" max="4364" width="10.6640625" style="516" customWidth="1"/>
    <col min="4365" max="4601" width="8.6640625" style="516"/>
    <col min="4602" max="4602" width="4.33203125" style="516" customWidth="1"/>
    <col min="4603" max="4603" width="2.88671875" style="516" customWidth="1"/>
    <col min="4604" max="4604" width="34.33203125" style="516" customWidth="1"/>
    <col min="4605" max="4605" width="11.44140625" style="516" customWidth="1"/>
    <col min="4606" max="4606" width="2.88671875" style="516" customWidth="1"/>
    <col min="4607" max="4607" width="11.44140625" style="516" customWidth="1"/>
    <col min="4608" max="4608" width="2.88671875" style="516" customWidth="1"/>
    <col min="4609" max="4609" width="11.44140625" style="516" customWidth="1"/>
    <col min="4610" max="4610" width="2.88671875" style="516" customWidth="1"/>
    <col min="4611" max="4611" width="11.44140625" style="516" customWidth="1"/>
    <col min="4612" max="4612" width="2.109375" style="516" customWidth="1"/>
    <col min="4613" max="4613" width="11.44140625" style="516" customWidth="1"/>
    <col min="4614" max="4614" width="3.88671875" style="516" customWidth="1"/>
    <col min="4615" max="4616" width="4.33203125" style="516" customWidth="1"/>
    <col min="4617" max="4617" width="11.44140625" style="516" customWidth="1"/>
    <col min="4618" max="4620" width="10.6640625" style="516" customWidth="1"/>
    <col min="4621" max="4857" width="8.6640625" style="516"/>
    <col min="4858" max="4858" width="4.33203125" style="516" customWidth="1"/>
    <col min="4859" max="4859" width="2.88671875" style="516" customWidth="1"/>
    <col min="4860" max="4860" width="34.33203125" style="516" customWidth="1"/>
    <col min="4861" max="4861" width="11.44140625" style="516" customWidth="1"/>
    <col min="4862" max="4862" width="2.88671875" style="516" customWidth="1"/>
    <col min="4863" max="4863" width="11.44140625" style="516" customWidth="1"/>
    <col min="4864" max="4864" width="2.88671875" style="516" customWidth="1"/>
    <col min="4865" max="4865" width="11.44140625" style="516" customWidth="1"/>
    <col min="4866" max="4866" width="2.88671875" style="516" customWidth="1"/>
    <col min="4867" max="4867" width="11.44140625" style="516" customWidth="1"/>
    <col min="4868" max="4868" width="2.109375" style="516" customWidth="1"/>
    <col min="4869" max="4869" width="11.44140625" style="516" customWidth="1"/>
    <col min="4870" max="4870" width="3.88671875" style="516" customWidth="1"/>
    <col min="4871" max="4872" width="4.33203125" style="516" customWidth="1"/>
    <col min="4873" max="4873" width="11.44140625" style="516" customWidth="1"/>
    <col min="4874" max="4876" width="10.6640625" style="516" customWidth="1"/>
    <col min="4877" max="5113" width="8.6640625" style="516"/>
    <col min="5114" max="5114" width="4.33203125" style="516" customWidth="1"/>
    <col min="5115" max="5115" width="2.88671875" style="516" customWidth="1"/>
    <col min="5116" max="5116" width="34.33203125" style="516" customWidth="1"/>
    <col min="5117" max="5117" width="11.44140625" style="516" customWidth="1"/>
    <col min="5118" max="5118" width="2.88671875" style="516" customWidth="1"/>
    <col min="5119" max="5119" width="11.44140625" style="516" customWidth="1"/>
    <col min="5120" max="5120" width="2.88671875" style="516" customWidth="1"/>
    <col min="5121" max="5121" width="11.44140625" style="516" customWidth="1"/>
    <col min="5122" max="5122" width="2.88671875" style="516" customWidth="1"/>
    <col min="5123" max="5123" width="11.44140625" style="516" customWidth="1"/>
    <col min="5124" max="5124" width="2.109375" style="516" customWidth="1"/>
    <col min="5125" max="5125" width="11.44140625" style="516" customWidth="1"/>
    <col min="5126" max="5126" width="3.88671875" style="516" customWidth="1"/>
    <col min="5127" max="5128" width="4.33203125" style="516" customWidth="1"/>
    <col min="5129" max="5129" width="11.44140625" style="516" customWidth="1"/>
    <col min="5130" max="5132" width="10.6640625" style="516" customWidth="1"/>
    <col min="5133" max="5369" width="8.6640625" style="516"/>
    <col min="5370" max="5370" width="4.33203125" style="516" customWidth="1"/>
    <col min="5371" max="5371" width="2.88671875" style="516" customWidth="1"/>
    <col min="5372" max="5372" width="34.33203125" style="516" customWidth="1"/>
    <col min="5373" max="5373" width="11.44140625" style="516" customWidth="1"/>
    <col min="5374" max="5374" width="2.88671875" style="516" customWidth="1"/>
    <col min="5375" max="5375" width="11.44140625" style="516" customWidth="1"/>
    <col min="5376" max="5376" width="2.88671875" style="516" customWidth="1"/>
    <col min="5377" max="5377" width="11.44140625" style="516" customWidth="1"/>
    <col min="5378" max="5378" width="2.88671875" style="516" customWidth="1"/>
    <col min="5379" max="5379" width="11.44140625" style="516" customWidth="1"/>
    <col min="5380" max="5380" width="2.109375" style="516" customWidth="1"/>
    <col min="5381" max="5381" width="11.44140625" style="516" customWidth="1"/>
    <col min="5382" max="5382" width="3.88671875" style="516" customWidth="1"/>
    <col min="5383" max="5384" width="4.33203125" style="516" customWidth="1"/>
    <col min="5385" max="5385" width="11.44140625" style="516" customWidth="1"/>
    <col min="5386" max="5388" width="10.6640625" style="516" customWidth="1"/>
    <col min="5389" max="5625" width="8.6640625" style="516"/>
    <col min="5626" max="5626" width="4.33203125" style="516" customWidth="1"/>
    <col min="5627" max="5627" width="2.88671875" style="516" customWidth="1"/>
    <col min="5628" max="5628" width="34.33203125" style="516" customWidth="1"/>
    <col min="5629" max="5629" width="11.44140625" style="516" customWidth="1"/>
    <col min="5630" max="5630" width="2.88671875" style="516" customWidth="1"/>
    <col min="5631" max="5631" width="11.44140625" style="516" customWidth="1"/>
    <col min="5632" max="5632" width="2.88671875" style="516" customWidth="1"/>
    <col min="5633" max="5633" width="11.44140625" style="516" customWidth="1"/>
    <col min="5634" max="5634" width="2.88671875" style="516" customWidth="1"/>
    <col min="5635" max="5635" width="11.44140625" style="516" customWidth="1"/>
    <col min="5636" max="5636" width="2.109375" style="516" customWidth="1"/>
    <col min="5637" max="5637" width="11.44140625" style="516" customWidth="1"/>
    <col min="5638" max="5638" width="3.88671875" style="516" customWidth="1"/>
    <col min="5639" max="5640" width="4.33203125" style="516" customWidth="1"/>
    <col min="5641" max="5641" width="11.44140625" style="516" customWidth="1"/>
    <col min="5642" max="5644" width="10.6640625" style="516" customWidth="1"/>
    <col min="5645" max="5881" width="8.6640625" style="516"/>
    <col min="5882" max="5882" width="4.33203125" style="516" customWidth="1"/>
    <col min="5883" max="5883" width="2.88671875" style="516" customWidth="1"/>
    <col min="5884" max="5884" width="34.33203125" style="516" customWidth="1"/>
    <col min="5885" max="5885" width="11.44140625" style="516" customWidth="1"/>
    <col min="5886" max="5886" width="2.88671875" style="516" customWidth="1"/>
    <col min="5887" max="5887" width="11.44140625" style="516" customWidth="1"/>
    <col min="5888" max="5888" width="2.88671875" style="516" customWidth="1"/>
    <col min="5889" max="5889" width="11.44140625" style="516" customWidth="1"/>
    <col min="5890" max="5890" width="2.88671875" style="516" customWidth="1"/>
    <col min="5891" max="5891" width="11.44140625" style="516" customWidth="1"/>
    <col min="5892" max="5892" width="2.109375" style="516" customWidth="1"/>
    <col min="5893" max="5893" width="11.44140625" style="516" customWidth="1"/>
    <col min="5894" max="5894" width="3.88671875" style="516" customWidth="1"/>
    <col min="5895" max="5896" width="4.33203125" style="516" customWidth="1"/>
    <col min="5897" max="5897" width="11.44140625" style="516" customWidth="1"/>
    <col min="5898" max="5900" width="10.6640625" style="516" customWidth="1"/>
    <col min="5901" max="6137" width="8.6640625" style="516"/>
    <col min="6138" max="6138" width="4.33203125" style="516" customWidth="1"/>
    <col min="6139" max="6139" width="2.88671875" style="516" customWidth="1"/>
    <col min="6140" max="6140" width="34.33203125" style="516" customWidth="1"/>
    <col min="6141" max="6141" width="11.44140625" style="516" customWidth="1"/>
    <col min="6142" max="6142" width="2.88671875" style="516" customWidth="1"/>
    <col min="6143" max="6143" width="11.44140625" style="516" customWidth="1"/>
    <col min="6144" max="6144" width="2.88671875" style="516" customWidth="1"/>
    <col min="6145" max="6145" width="11.44140625" style="516" customWidth="1"/>
    <col min="6146" max="6146" width="2.88671875" style="516" customWidth="1"/>
    <col min="6147" max="6147" width="11.44140625" style="516" customWidth="1"/>
    <col min="6148" max="6148" width="2.109375" style="516" customWidth="1"/>
    <col min="6149" max="6149" width="11.44140625" style="516" customWidth="1"/>
    <col min="6150" max="6150" width="3.88671875" style="516" customWidth="1"/>
    <col min="6151" max="6152" width="4.33203125" style="516" customWidth="1"/>
    <col min="6153" max="6153" width="11.44140625" style="516" customWidth="1"/>
    <col min="6154" max="6156" width="10.6640625" style="516" customWidth="1"/>
    <col min="6157" max="6393" width="8.6640625" style="516"/>
    <col min="6394" max="6394" width="4.33203125" style="516" customWidth="1"/>
    <col min="6395" max="6395" width="2.88671875" style="516" customWidth="1"/>
    <col min="6396" max="6396" width="34.33203125" style="516" customWidth="1"/>
    <col min="6397" max="6397" width="11.44140625" style="516" customWidth="1"/>
    <col min="6398" max="6398" width="2.88671875" style="516" customWidth="1"/>
    <col min="6399" max="6399" width="11.44140625" style="516" customWidth="1"/>
    <col min="6400" max="6400" width="2.88671875" style="516" customWidth="1"/>
    <col min="6401" max="6401" width="11.44140625" style="516" customWidth="1"/>
    <col min="6402" max="6402" width="2.88671875" style="516" customWidth="1"/>
    <col min="6403" max="6403" width="11.44140625" style="516" customWidth="1"/>
    <col min="6404" max="6404" width="2.109375" style="516" customWidth="1"/>
    <col min="6405" max="6405" width="11.44140625" style="516" customWidth="1"/>
    <col min="6406" max="6406" width="3.88671875" style="516" customWidth="1"/>
    <col min="6407" max="6408" width="4.33203125" style="516" customWidth="1"/>
    <col min="6409" max="6409" width="11.44140625" style="516" customWidth="1"/>
    <col min="6410" max="6412" width="10.6640625" style="516" customWidth="1"/>
    <col min="6413" max="6649" width="8.6640625" style="516"/>
    <col min="6650" max="6650" width="4.33203125" style="516" customWidth="1"/>
    <col min="6651" max="6651" width="2.88671875" style="516" customWidth="1"/>
    <col min="6652" max="6652" width="34.33203125" style="516" customWidth="1"/>
    <col min="6653" max="6653" width="11.44140625" style="516" customWidth="1"/>
    <col min="6654" max="6654" width="2.88671875" style="516" customWidth="1"/>
    <col min="6655" max="6655" width="11.44140625" style="516" customWidth="1"/>
    <col min="6656" max="6656" width="2.88671875" style="516" customWidth="1"/>
    <col min="6657" max="6657" width="11.44140625" style="516" customWidth="1"/>
    <col min="6658" max="6658" width="2.88671875" style="516" customWidth="1"/>
    <col min="6659" max="6659" width="11.44140625" style="516" customWidth="1"/>
    <col min="6660" max="6660" width="2.109375" style="516" customWidth="1"/>
    <col min="6661" max="6661" width="11.44140625" style="516" customWidth="1"/>
    <col min="6662" max="6662" width="3.88671875" style="516" customWidth="1"/>
    <col min="6663" max="6664" width="4.33203125" style="516" customWidth="1"/>
    <col min="6665" max="6665" width="11.44140625" style="516" customWidth="1"/>
    <col min="6666" max="6668" width="10.6640625" style="516" customWidth="1"/>
    <col min="6669" max="6905" width="8.6640625" style="516"/>
    <col min="6906" max="6906" width="4.33203125" style="516" customWidth="1"/>
    <col min="6907" max="6907" width="2.88671875" style="516" customWidth="1"/>
    <col min="6908" max="6908" width="34.33203125" style="516" customWidth="1"/>
    <col min="6909" max="6909" width="11.44140625" style="516" customWidth="1"/>
    <col min="6910" max="6910" width="2.88671875" style="516" customWidth="1"/>
    <col min="6911" max="6911" width="11.44140625" style="516" customWidth="1"/>
    <col min="6912" max="6912" width="2.88671875" style="516" customWidth="1"/>
    <col min="6913" max="6913" width="11.44140625" style="516" customWidth="1"/>
    <col min="6914" max="6914" width="2.88671875" style="516" customWidth="1"/>
    <col min="6915" max="6915" width="11.44140625" style="516" customWidth="1"/>
    <col min="6916" max="6916" width="2.109375" style="516" customWidth="1"/>
    <col min="6917" max="6917" width="11.44140625" style="516" customWidth="1"/>
    <col min="6918" max="6918" width="3.88671875" style="516" customWidth="1"/>
    <col min="6919" max="6920" width="4.33203125" style="516" customWidth="1"/>
    <col min="6921" max="6921" width="11.44140625" style="516" customWidth="1"/>
    <col min="6922" max="6924" width="10.6640625" style="516" customWidth="1"/>
    <col min="6925" max="7161" width="8.6640625" style="516"/>
    <col min="7162" max="7162" width="4.33203125" style="516" customWidth="1"/>
    <col min="7163" max="7163" width="2.88671875" style="516" customWidth="1"/>
    <col min="7164" max="7164" width="34.33203125" style="516" customWidth="1"/>
    <col min="7165" max="7165" width="11.44140625" style="516" customWidth="1"/>
    <col min="7166" max="7166" width="2.88671875" style="516" customWidth="1"/>
    <col min="7167" max="7167" width="11.44140625" style="516" customWidth="1"/>
    <col min="7168" max="7168" width="2.88671875" style="516" customWidth="1"/>
    <col min="7169" max="7169" width="11.44140625" style="516" customWidth="1"/>
    <col min="7170" max="7170" width="2.88671875" style="516" customWidth="1"/>
    <col min="7171" max="7171" width="11.44140625" style="516" customWidth="1"/>
    <col min="7172" max="7172" width="2.109375" style="516" customWidth="1"/>
    <col min="7173" max="7173" width="11.44140625" style="516" customWidth="1"/>
    <col min="7174" max="7174" width="3.88671875" style="516" customWidth="1"/>
    <col min="7175" max="7176" width="4.33203125" style="516" customWidth="1"/>
    <col min="7177" max="7177" width="11.44140625" style="516" customWidth="1"/>
    <col min="7178" max="7180" width="10.6640625" style="516" customWidth="1"/>
    <col min="7181" max="7417" width="8.6640625" style="516"/>
    <col min="7418" max="7418" width="4.33203125" style="516" customWidth="1"/>
    <col min="7419" max="7419" width="2.88671875" style="516" customWidth="1"/>
    <col min="7420" max="7420" width="34.33203125" style="516" customWidth="1"/>
    <col min="7421" max="7421" width="11.44140625" style="516" customWidth="1"/>
    <col min="7422" max="7422" width="2.88671875" style="516" customWidth="1"/>
    <col min="7423" max="7423" width="11.44140625" style="516" customWidth="1"/>
    <col min="7424" max="7424" width="2.88671875" style="516" customWidth="1"/>
    <col min="7425" max="7425" width="11.44140625" style="516" customWidth="1"/>
    <col min="7426" max="7426" width="2.88671875" style="516" customWidth="1"/>
    <col min="7427" max="7427" width="11.44140625" style="516" customWidth="1"/>
    <col min="7428" max="7428" width="2.109375" style="516" customWidth="1"/>
    <col min="7429" max="7429" width="11.44140625" style="516" customWidth="1"/>
    <col min="7430" max="7430" width="3.88671875" style="516" customWidth="1"/>
    <col min="7431" max="7432" width="4.33203125" style="516" customWidth="1"/>
    <col min="7433" max="7433" width="11.44140625" style="516" customWidth="1"/>
    <col min="7434" max="7436" width="10.6640625" style="516" customWidth="1"/>
    <col min="7437" max="7673" width="8.6640625" style="516"/>
    <col min="7674" max="7674" width="4.33203125" style="516" customWidth="1"/>
    <col min="7675" max="7675" width="2.88671875" style="516" customWidth="1"/>
    <col min="7676" max="7676" width="34.33203125" style="516" customWidth="1"/>
    <col min="7677" max="7677" width="11.44140625" style="516" customWidth="1"/>
    <col min="7678" max="7678" width="2.88671875" style="516" customWidth="1"/>
    <col min="7679" max="7679" width="11.44140625" style="516" customWidth="1"/>
    <col min="7680" max="7680" width="2.88671875" style="516" customWidth="1"/>
    <col min="7681" max="7681" width="11.44140625" style="516" customWidth="1"/>
    <col min="7682" max="7682" width="2.88671875" style="516" customWidth="1"/>
    <col min="7683" max="7683" width="11.44140625" style="516" customWidth="1"/>
    <col min="7684" max="7684" width="2.109375" style="516" customWidth="1"/>
    <col min="7685" max="7685" width="11.44140625" style="516" customWidth="1"/>
    <col min="7686" max="7686" width="3.88671875" style="516" customWidth="1"/>
    <col min="7687" max="7688" width="4.33203125" style="516" customWidth="1"/>
    <col min="7689" max="7689" width="11.44140625" style="516" customWidth="1"/>
    <col min="7690" max="7692" width="10.6640625" style="516" customWidth="1"/>
    <col min="7693" max="7929" width="8.6640625" style="516"/>
    <col min="7930" max="7930" width="4.33203125" style="516" customWidth="1"/>
    <col min="7931" max="7931" width="2.88671875" style="516" customWidth="1"/>
    <col min="7932" max="7932" width="34.33203125" style="516" customWidth="1"/>
    <col min="7933" max="7933" width="11.44140625" style="516" customWidth="1"/>
    <col min="7934" max="7934" width="2.88671875" style="516" customWidth="1"/>
    <col min="7935" max="7935" width="11.44140625" style="516" customWidth="1"/>
    <col min="7936" max="7936" width="2.88671875" style="516" customWidth="1"/>
    <col min="7937" max="7937" width="11.44140625" style="516" customWidth="1"/>
    <col min="7938" max="7938" width="2.88671875" style="516" customWidth="1"/>
    <col min="7939" max="7939" width="11.44140625" style="516" customWidth="1"/>
    <col min="7940" max="7940" width="2.109375" style="516" customWidth="1"/>
    <col min="7941" max="7941" width="11.44140625" style="516" customWidth="1"/>
    <col min="7942" max="7942" width="3.88671875" style="516" customWidth="1"/>
    <col min="7943" max="7944" width="4.33203125" style="516" customWidth="1"/>
    <col min="7945" max="7945" width="11.44140625" style="516" customWidth="1"/>
    <col min="7946" max="7948" width="10.6640625" style="516" customWidth="1"/>
    <col min="7949" max="8185" width="8.6640625" style="516"/>
    <col min="8186" max="8186" width="4.33203125" style="516" customWidth="1"/>
    <col min="8187" max="8187" width="2.88671875" style="516" customWidth="1"/>
    <col min="8188" max="8188" width="34.33203125" style="516" customWidth="1"/>
    <col min="8189" max="8189" width="11.44140625" style="516" customWidth="1"/>
    <col min="8190" max="8190" width="2.88671875" style="516" customWidth="1"/>
    <col min="8191" max="8191" width="11.44140625" style="516" customWidth="1"/>
    <col min="8192" max="8192" width="2.88671875" style="516" customWidth="1"/>
    <col min="8193" max="8193" width="11.44140625" style="516" customWidth="1"/>
    <col min="8194" max="8194" width="2.88671875" style="516" customWidth="1"/>
    <col min="8195" max="8195" width="11.44140625" style="516" customWidth="1"/>
    <col min="8196" max="8196" width="2.109375" style="516" customWidth="1"/>
    <col min="8197" max="8197" width="11.44140625" style="516" customWidth="1"/>
    <col min="8198" max="8198" width="3.88671875" style="516" customWidth="1"/>
    <col min="8199" max="8200" width="4.33203125" style="516" customWidth="1"/>
    <col min="8201" max="8201" width="11.44140625" style="516" customWidth="1"/>
    <col min="8202" max="8204" width="10.6640625" style="516" customWidth="1"/>
    <col min="8205" max="8441" width="8.6640625" style="516"/>
    <col min="8442" max="8442" width="4.33203125" style="516" customWidth="1"/>
    <col min="8443" max="8443" width="2.88671875" style="516" customWidth="1"/>
    <col min="8444" max="8444" width="34.33203125" style="516" customWidth="1"/>
    <col min="8445" max="8445" width="11.44140625" style="516" customWidth="1"/>
    <col min="8446" max="8446" width="2.88671875" style="516" customWidth="1"/>
    <col min="8447" max="8447" width="11.44140625" style="516" customWidth="1"/>
    <col min="8448" max="8448" width="2.88671875" style="516" customWidth="1"/>
    <col min="8449" max="8449" width="11.44140625" style="516" customWidth="1"/>
    <col min="8450" max="8450" width="2.88671875" style="516" customWidth="1"/>
    <col min="8451" max="8451" width="11.44140625" style="516" customWidth="1"/>
    <col min="8452" max="8452" width="2.109375" style="516" customWidth="1"/>
    <col min="8453" max="8453" width="11.44140625" style="516" customWidth="1"/>
    <col min="8454" max="8454" width="3.88671875" style="516" customWidth="1"/>
    <col min="8455" max="8456" width="4.33203125" style="516" customWidth="1"/>
    <col min="8457" max="8457" width="11.44140625" style="516" customWidth="1"/>
    <col min="8458" max="8460" width="10.6640625" style="516" customWidth="1"/>
    <col min="8461" max="8697" width="8.6640625" style="516"/>
    <col min="8698" max="8698" width="4.33203125" style="516" customWidth="1"/>
    <col min="8699" max="8699" width="2.88671875" style="516" customWidth="1"/>
    <col min="8700" max="8700" width="34.33203125" style="516" customWidth="1"/>
    <col min="8701" max="8701" width="11.44140625" style="516" customWidth="1"/>
    <col min="8702" max="8702" width="2.88671875" style="516" customWidth="1"/>
    <col min="8703" max="8703" width="11.44140625" style="516" customWidth="1"/>
    <col min="8704" max="8704" width="2.88671875" style="516" customWidth="1"/>
    <col min="8705" max="8705" width="11.44140625" style="516" customWidth="1"/>
    <col min="8706" max="8706" width="2.88671875" style="516" customWidth="1"/>
    <col min="8707" max="8707" width="11.44140625" style="516" customWidth="1"/>
    <col min="8708" max="8708" width="2.109375" style="516" customWidth="1"/>
    <col min="8709" max="8709" width="11.44140625" style="516" customWidth="1"/>
    <col min="8710" max="8710" width="3.88671875" style="516" customWidth="1"/>
    <col min="8711" max="8712" width="4.33203125" style="516" customWidth="1"/>
    <col min="8713" max="8713" width="11.44140625" style="516" customWidth="1"/>
    <col min="8714" max="8716" width="10.6640625" style="516" customWidth="1"/>
    <col min="8717" max="8953" width="8.6640625" style="516"/>
    <col min="8954" max="8954" width="4.33203125" style="516" customWidth="1"/>
    <col min="8955" max="8955" width="2.88671875" style="516" customWidth="1"/>
    <col min="8956" max="8956" width="34.33203125" style="516" customWidth="1"/>
    <col min="8957" max="8957" width="11.44140625" style="516" customWidth="1"/>
    <col min="8958" max="8958" width="2.88671875" style="516" customWidth="1"/>
    <col min="8959" max="8959" width="11.44140625" style="516" customWidth="1"/>
    <col min="8960" max="8960" width="2.88671875" style="516" customWidth="1"/>
    <col min="8961" max="8961" width="11.44140625" style="516" customWidth="1"/>
    <col min="8962" max="8962" width="2.88671875" style="516" customWidth="1"/>
    <col min="8963" max="8963" width="11.44140625" style="516" customWidth="1"/>
    <col min="8964" max="8964" width="2.109375" style="516" customWidth="1"/>
    <col min="8965" max="8965" width="11.44140625" style="516" customWidth="1"/>
    <col min="8966" max="8966" width="3.88671875" style="516" customWidth="1"/>
    <col min="8967" max="8968" width="4.33203125" style="516" customWidth="1"/>
    <col min="8969" max="8969" width="11.44140625" style="516" customWidth="1"/>
    <col min="8970" max="8972" width="10.6640625" style="516" customWidth="1"/>
    <col min="8973" max="9209" width="8.6640625" style="516"/>
    <col min="9210" max="9210" width="4.33203125" style="516" customWidth="1"/>
    <col min="9211" max="9211" width="2.88671875" style="516" customWidth="1"/>
    <col min="9212" max="9212" width="34.33203125" style="516" customWidth="1"/>
    <col min="9213" max="9213" width="11.44140625" style="516" customWidth="1"/>
    <col min="9214" max="9214" width="2.88671875" style="516" customWidth="1"/>
    <col min="9215" max="9215" width="11.44140625" style="516" customWidth="1"/>
    <col min="9216" max="9216" width="2.88671875" style="516" customWidth="1"/>
    <col min="9217" max="9217" width="11.44140625" style="516" customWidth="1"/>
    <col min="9218" max="9218" width="2.88671875" style="516" customWidth="1"/>
    <col min="9219" max="9219" width="11.44140625" style="516" customWidth="1"/>
    <col min="9220" max="9220" width="2.109375" style="516" customWidth="1"/>
    <col min="9221" max="9221" width="11.44140625" style="516" customWidth="1"/>
    <col min="9222" max="9222" width="3.88671875" style="516" customWidth="1"/>
    <col min="9223" max="9224" width="4.33203125" style="516" customWidth="1"/>
    <col min="9225" max="9225" width="11.44140625" style="516" customWidth="1"/>
    <col min="9226" max="9228" width="10.6640625" style="516" customWidth="1"/>
    <col min="9229" max="9465" width="8.6640625" style="516"/>
    <col min="9466" max="9466" width="4.33203125" style="516" customWidth="1"/>
    <col min="9467" max="9467" width="2.88671875" style="516" customWidth="1"/>
    <col min="9468" max="9468" width="34.33203125" style="516" customWidth="1"/>
    <col min="9469" max="9469" width="11.44140625" style="516" customWidth="1"/>
    <col min="9470" max="9470" width="2.88671875" style="516" customWidth="1"/>
    <col min="9471" max="9471" width="11.44140625" style="516" customWidth="1"/>
    <col min="9472" max="9472" width="2.88671875" style="516" customWidth="1"/>
    <col min="9473" max="9473" width="11.44140625" style="516" customWidth="1"/>
    <col min="9474" max="9474" width="2.88671875" style="516" customWidth="1"/>
    <col min="9475" max="9475" width="11.44140625" style="516" customWidth="1"/>
    <col min="9476" max="9476" width="2.109375" style="516" customWidth="1"/>
    <col min="9477" max="9477" width="11.44140625" style="516" customWidth="1"/>
    <col min="9478" max="9478" width="3.88671875" style="516" customWidth="1"/>
    <col min="9479" max="9480" width="4.33203125" style="516" customWidth="1"/>
    <col min="9481" max="9481" width="11.44140625" style="516" customWidth="1"/>
    <col min="9482" max="9484" width="10.6640625" style="516" customWidth="1"/>
    <col min="9485" max="9721" width="8.6640625" style="516"/>
    <col min="9722" max="9722" width="4.33203125" style="516" customWidth="1"/>
    <col min="9723" max="9723" width="2.88671875" style="516" customWidth="1"/>
    <col min="9724" max="9724" width="34.33203125" style="516" customWidth="1"/>
    <col min="9725" max="9725" width="11.44140625" style="516" customWidth="1"/>
    <col min="9726" max="9726" width="2.88671875" style="516" customWidth="1"/>
    <col min="9727" max="9727" width="11.44140625" style="516" customWidth="1"/>
    <col min="9728" max="9728" width="2.88671875" style="516" customWidth="1"/>
    <col min="9729" max="9729" width="11.44140625" style="516" customWidth="1"/>
    <col min="9730" max="9730" width="2.88671875" style="516" customWidth="1"/>
    <col min="9731" max="9731" width="11.44140625" style="516" customWidth="1"/>
    <col min="9732" max="9732" width="2.109375" style="516" customWidth="1"/>
    <col min="9733" max="9733" width="11.44140625" style="516" customWidth="1"/>
    <col min="9734" max="9734" width="3.88671875" style="516" customWidth="1"/>
    <col min="9735" max="9736" width="4.33203125" style="516" customWidth="1"/>
    <col min="9737" max="9737" width="11.44140625" style="516" customWidth="1"/>
    <col min="9738" max="9740" width="10.6640625" style="516" customWidth="1"/>
    <col min="9741" max="9977" width="8.6640625" style="516"/>
    <col min="9978" max="9978" width="4.33203125" style="516" customWidth="1"/>
    <col min="9979" max="9979" width="2.88671875" style="516" customWidth="1"/>
    <col min="9980" max="9980" width="34.33203125" style="516" customWidth="1"/>
    <col min="9981" max="9981" width="11.44140625" style="516" customWidth="1"/>
    <col min="9982" max="9982" width="2.88671875" style="516" customWidth="1"/>
    <col min="9983" max="9983" width="11.44140625" style="516" customWidth="1"/>
    <col min="9984" max="9984" width="2.88671875" style="516" customWidth="1"/>
    <col min="9985" max="9985" width="11.44140625" style="516" customWidth="1"/>
    <col min="9986" max="9986" width="2.88671875" style="516" customWidth="1"/>
    <col min="9987" max="9987" width="11.44140625" style="516" customWidth="1"/>
    <col min="9988" max="9988" width="2.109375" style="516" customWidth="1"/>
    <col min="9989" max="9989" width="11.44140625" style="516" customWidth="1"/>
    <col min="9990" max="9990" width="3.88671875" style="516" customWidth="1"/>
    <col min="9991" max="9992" width="4.33203125" style="516" customWidth="1"/>
    <col min="9993" max="9993" width="11.44140625" style="516" customWidth="1"/>
    <col min="9994" max="9996" width="10.6640625" style="516" customWidth="1"/>
    <col min="9997" max="10233" width="8.6640625" style="516"/>
    <col min="10234" max="10234" width="4.33203125" style="516" customWidth="1"/>
    <col min="10235" max="10235" width="2.88671875" style="516" customWidth="1"/>
    <col min="10236" max="10236" width="34.33203125" style="516" customWidth="1"/>
    <col min="10237" max="10237" width="11.44140625" style="516" customWidth="1"/>
    <col min="10238" max="10238" width="2.88671875" style="516" customWidth="1"/>
    <col min="10239" max="10239" width="11.44140625" style="516" customWidth="1"/>
    <col min="10240" max="10240" width="2.88671875" style="516" customWidth="1"/>
    <col min="10241" max="10241" width="11.44140625" style="516" customWidth="1"/>
    <col min="10242" max="10242" width="2.88671875" style="516" customWidth="1"/>
    <col min="10243" max="10243" width="11.44140625" style="516" customWidth="1"/>
    <col min="10244" max="10244" width="2.109375" style="516" customWidth="1"/>
    <col min="10245" max="10245" width="11.44140625" style="516" customWidth="1"/>
    <col min="10246" max="10246" width="3.88671875" style="516" customWidth="1"/>
    <col min="10247" max="10248" width="4.33203125" style="516" customWidth="1"/>
    <col min="10249" max="10249" width="11.44140625" style="516" customWidth="1"/>
    <col min="10250" max="10252" width="10.6640625" style="516" customWidth="1"/>
    <col min="10253" max="10489" width="8.6640625" style="516"/>
    <col min="10490" max="10490" width="4.33203125" style="516" customWidth="1"/>
    <col min="10491" max="10491" width="2.88671875" style="516" customWidth="1"/>
    <col min="10492" max="10492" width="34.33203125" style="516" customWidth="1"/>
    <col min="10493" max="10493" width="11.44140625" style="516" customWidth="1"/>
    <col min="10494" max="10494" width="2.88671875" style="516" customWidth="1"/>
    <col min="10495" max="10495" width="11.44140625" style="516" customWidth="1"/>
    <col min="10496" max="10496" width="2.88671875" style="516" customWidth="1"/>
    <col min="10497" max="10497" width="11.44140625" style="516" customWidth="1"/>
    <col min="10498" max="10498" width="2.88671875" style="516" customWidth="1"/>
    <col min="10499" max="10499" width="11.44140625" style="516" customWidth="1"/>
    <col min="10500" max="10500" width="2.109375" style="516" customWidth="1"/>
    <col min="10501" max="10501" width="11.44140625" style="516" customWidth="1"/>
    <col min="10502" max="10502" width="3.88671875" style="516" customWidth="1"/>
    <col min="10503" max="10504" width="4.33203125" style="516" customWidth="1"/>
    <col min="10505" max="10505" width="11.44140625" style="516" customWidth="1"/>
    <col min="10506" max="10508" width="10.6640625" style="516" customWidth="1"/>
    <col min="10509" max="10745" width="8.6640625" style="516"/>
    <col min="10746" max="10746" width="4.33203125" style="516" customWidth="1"/>
    <col min="10747" max="10747" width="2.88671875" style="516" customWidth="1"/>
    <col min="10748" max="10748" width="34.33203125" style="516" customWidth="1"/>
    <col min="10749" max="10749" width="11.44140625" style="516" customWidth="1"/>
    <col min="10750" max="10750" width="2.88671875" style="516" customWidth="1"/>
    <col min="10751" max="10751" width="11.44140625" style="516" customWidth="1"/>
    <col min="10752" max="10752" width="2.88671875" style="516" customWidth="1"/>
    <col min="10753" max="10753" width="11.44140625" style="516" customWidth="1"/>
    <col min="10754" max="10754" width="2.88671875" style="516" customWidth="1"/>
    <col min="10755" max="10755" width="11.44140625" style="516" customWidth="1"/>
    <col min="10756" max="10756" width="2.109375" style="516" customWidth="1"/>
    <col min="10757" max="10757" width="11.44140625" style="516" customWidth="1"/>
    <col min="10758" max="10758" width="3.88671875" style="516" customWidth="1"/>
    <col min="10759" max="10760" width="4.33203125" style="516" customWidth="1"/>
    <col min="10761" max="10761" width="11.44140625" style="516" customWidth="1"/>
    <col min="10762" max="10764" width="10.6640625" style="516" customWidth="1"/>
    <col min="10765" max="11001" width="8.6640625" style="516"/>
    <col min="11002" max="11002" width="4.33203125" style="516" customWidth="1"/>
    <col min="11003" max="11003" width="2.88671875" style="516" customWidth="1"/>
    <col min="11004" max="11004" width="34.33203125" style="516" customWidth="1"/>
    <col min="11005" max="11005" width="11.44140625" style="516" customWidth="1"/>
    <col min="11006" max="11006" width="2.88671875" style="516" customWidth="1"/>
    <col min="11007" max="11007" width="11.44140625" style="516" customWidth="1"/>
    <col min="11008" max="11008" width="2.88671875" style="516" customWidth="1"/>
    <col min="11009" max="11009" width="11.44140625" style="516" customWidth="1"/>
    <col min="11010" max="11010" width="2.88671875" style="516" customWidth="1"/>
    <col min="11011" max="11011" width="11.44140625" style="516" customWidth="1"/>
    <col min="11012" max="11012" width="2.109375" style="516" customWidth="1"/>
    <col min="11013" max="11013" width="11.44140625" style="516" customWidth="1"/>
    <col min="11014" max="11014" width="3.88671875" style="516" customWidth="1"/>
    <col min="11015" max="11016" width="4.33203125" style="516" customWidth="1"/>
    <col min="11017" max="11017" width="11.44140625" style="516" customWidth="1"/>
    <col min="11018" max="11020" width="10.6640625" style="516" customWidth="1"/>
    <col min="11021" max="11257" width="8.6640625" style="516"/>
    <col min="11258" max="11258" width="4.33203125" style="516" customWidth="1"/>
    <col min="11259" max="11259" width="2.88671875" style="516" customWidth="1"/>
    <col min="11260" max="11260" width="34.33203125" style="516" customWidth="1"/>
    <col min="11261" max="11261" width="11.44140625" style="516" customWidth="1"/>
    <col min="11262" max="11262" width="2.88671875" style="516" customWidth="1"/>
    <col min="11263" max="11263" width="11.44140625" style="516" customWidth="1"/>
    <col min="11264" max="11264" width="2.88671875" style="516" customWidth="1"/>
    <col min="11265" max="11265" width="11.44140625" style="516" customWidth="1"/>
    <col min="11266" max="11266" width="2.88671875" style="516" customWidth="1"/>
    <col min="11267" max="11267" width="11.44140625" style="516" customWidth="1"/>
    <col min="11268" max="11268" width="2.109375" style="516" customWidth="1"/>
    <col min="11269" max="11269" width="11.44140625" style="516" customWidth="1"/>
    <col min="11270" max="11270" width="3.88671875" style="516" customWidth="1"/>
    <col min="11271" max="11272" width="4.33203125" style="516" customWidth="1"/>
    <col min="11273" max="11273" width="11.44140625" style="516" customWidth="1"/>
    <col min="11274" max="11276" width="10.6640625" style="516" customWidth="1"/>
    <col min="11277" max="11513" width="8.6640625" style="516"/>
    <col min="11514" max="11514" width="4.33203125" style="516" customWidth="1"/>
    <col min="11515" max="11515" width="2.88671875" style="516" customWidth="1"/>
    <col min="11516" max="11516" width="34.33203125" style="516" customWidth="1"/>
    <col min="11517" max="11517" width="11.44140625" style="516" customWidth="1"/>
    <col min="11518" max="11518" width="2.88671875" style="516" customWidth="1"/>
    <col min="11519" max="11519" width="11.44140625" style="516" customWidth="1"/>
    <col min="11520" max="11520" width="2.88671875" style="516" customWidth="1"/>
    <col min="11521" max="11521" width="11.44140625" style="516" customWidth="1"/>
    <col min="11522" max="11522" width="2.88671875" style="516" customWidth="1"/>
    <col min="11523" max="11523" width="11.44140625" style="516" customWidth="1"/>
    <col min="11524" max="11524" width="2.109375" style="516" customWidth="1"/>
    <col min="11525" max="11525" width="11.44140625" style="516" customWidth="1"/>
    <col min="11526" max="11526" width="3.88671875" style="516" customWidth="1"/>
    <col min="11527" max="11528" width="4.33203125" style="516" customWidth="1"/>
    <col min="11529" max="11529" width="11.44140625" style="516" customWidth="1"/>
    <col min="11530" max="11532" width="10.6640625" style="516" customWidth="1"/>
    <col min="11533" max="11769" width="8.6640625" style="516"/>
    <col min="11770" max="11770" width="4.33203125" style="516" customWidth="1"/>
    <col min="11771" max="11771" width="2.88671875" style="516" customWidth="1"/>
    <col min="11772" max="11772" width="34.33203125" style="516" customWidth="1"/>
    <col min="11773" max="11773" width="11.44140625" style="516" customWidth="1"/>
    <col min="11774" max="11774" width="2.88671875" style="516" customWidth="1"/>
    <col min="11775" max="11775" width="11.44140625" style="516" customWidth="1"/>
    <col min="11776" max="11776" width="2.88671875" style="516" customWidth="1"/>
    <col min="11777" max="11777" width="11.44140625" style="516" customWidth="1"/>
    <col min="11778" max="11778" width="2.88671875" style="516" customWidth="1"/>
    <col min="11779" max="11779" width="11.44140625" style="516" customWidth="1"/>
    <col min="11780" max="11780" width="2.109375" style="516" customWidth="1"/>
    <col min="11781" max="11781" width="11.44140625" style="516" customWidth="1"/>
    <col min="11782" max="11782" width="3.88671875" style="516" customWidth="1"/>
    <col min="11783" max="11784" width="4.33203125" style="516" customWidth="1"/>
    <col min="11785" max="11785" width="11.44140625" style="516" customWidth="1"/>
    <col min="11786" max="11788" width="10.6640625" style="516" customWidth="1"/>
    <col min="11789" max="12025" width="8.6640625" style="516"/>
    <col min="12026" max="12026" width="4.33203125" style="516" customWidth="1"/>
    <col min="12027" max="12027" width="2.88671875" style="516" customWidth="1"/>
    <col min="12028" max="12028" width="34.33203125" style="516" customWidth="1"/>
    <col min="12029" max="12029" width="11.44140625" style="516" customWidth="1"/>
    <col min="12030" max="12030" width="2.88671875" style="516" customWidth="1"/>
    <col min="12031" max="12031" width="11.44140625" style="516" customWidth="1"/>
    <col min="12032" max="12032" width="2.88671875" style="516" customWidth="1"/>
    <col min="12033" max="12033" width="11.44140625" style="516" customWidth="1"/>
    <col min="12034" max="12034" width="2.88671875" style="516" customWidth="1"/>
    <col min="12035" max="12035" width="11.44140625" style="516" customWidth="1"/>
    <col min="12036" max="12036" width="2.109375" style="516" customWidth="1"/>
    <col min="12037" max="12037" width="11.44140625" style="516" customWidth="1"/>
    <col min="12038" max="12038" width="3.88671875" style="516" customWidth="1"/>
    <col min="12039" max="12040" width="4.33203125" style="516" customWidth="1"/>
    <col min="12041" max="12041" width="11.44140625" style="516" customWidth="1"/>
    <col min="12042" max="12044" width="10.6640625" style="516" customWidth="1"/>
    <col min="12045" max="12281" width="8.6640625" style="516"/>
    <col min="12282" max="12282" width="4.33203125" style="516" customWidth="1"/>
    <col min="12283" max="12283" width="2.88671875" style="516" customWidth="1"/>
    <col min="12284" max="12284" width="34.33203125" style="516" customWidth="1"/>
    <col min="12285" max="12285" width="11.44140625" style="516" customWidth="1"/>
    <col min="12286" max="12286" width="2.88671875" style="516" customWidth="1"/>
    <col min="12287" max="12287" width="11.44140625" style="516" customWidth="1"/>
    <col min="12288" max="12288" width="2.88671875" style="516" customWidth="1"/>
    <col min="12289" max="12289" width="11.44140625" style="516" customWidth="1"/>
    <col min="12290" max="12290" width="2.88671875" style="516" customWidth="1"/>
    <col min="12291" max="12291" width="11.44140625" style="516" customWidth="1"/>
    <col min="12292" max="12292" width="2.109375" style="516" customWidth="1"/>
    <col min="12293" max="12293" width="11.44140625" style="516" customWidth="1"/>
    <col min="12294" max="12294" width="3.88671875" style="516" customWidth="1"/>
    <col min="12295" max="12296" width="4.33203125" style="516" customWidth="1"/>
    <col min="12297" max="12297" width="11.44140625" style="516" customWidth="1"/>
    <col min="12298" max="12300" width="10.6640625" style="516" customWidth="1"/>
    <col min="12301" max="12537" width="8.6640625" style="516"/>
    <col min="12538" max="12538" width="4.33203125" style="516" customWidth="1"/>
    <col min="12539" max="12539" width="2.88671875" style="516" customWidth="1"/>
    <col min="12540" max="12540" width="34.33203125" style="516" customWidth="1"/>
    <col min="12541" max="12541" width="11.44140625" style="516" customWidth="1"/>
    <col min="12542" max="12542" width="2.88671875" style="516" customWidth="1"/>
    <col min="12543" max="12543" width="11.44140625" style="516" customWidth="1"/>
    <col min="12544" max="12544" width="2.88671875" style="516" customWidth="1"/>
    <col min="12545" max="12545" width="11.44140625" style="516" customWidth="1"/>
    <col min="12546" max="12546" width="2.88671875" style="516" customWidth="1"/>
    <col min="12547" max="12547" width="11.44140625" style="516" customWidth="1"/>
    <col min="12548" max="12548" width="2.109375" style="516" customWidth="1"/>
    <col min="12549" max="12549" width="11.44140625" style="516" customWidth="1"/>
    <col min="12550" max="12550" width="3.88671875" style="516" customWidth="1"/>
    <col min="12551" max="12552" width="4.33203125" style="516" customWidth="1"/>
    <col min="12553" max="12553" width="11.44140625" style="516" customWidth="1"/>
    <col min="12554" max="12556" width="10.6640625" style="516" customWidth="1"/>
    <col min="12557" max="12793" width="8.6640625" style="516"/>
    <col min="12794" max="12794" width="4.33203125" style="516" customWidth="1"/>
    <col min="12795" max="12795" width="2.88671875" style="516" customWidth="1"/>
    <col min="12796" max="12796" width="34.33203125" style="516" customWidth="1"/>
    <col min="12797" max="12797" width="11.44140625" style="516" customWidth="1"/>
    <col min="12798" max="12798" width="2.88671875" style="516" customWidth="1"/>
    <col min="12799" max="12799" width="11.44140625" style="516" customWidth="1"/>
    <col min="12800" max="12800" width="2.88671875" style="516" customWidth="1"/>
    <col min="12801" max="12801" width="11.44140625" style="516" customWidth="1"/>
    <col min="12802" max="12802" width="2.88671875" style="516" customWidth="1"/>
    <col min="12803" max="12803" width="11.44140625" style="516" customWidth="1"/>
    <col min="12804" max="12804" width="2.109375" style="516" customWidth="1"/>
    <col min="12805" max="12805" width="11.44140625" style="516" customWidth="1"/>
    <col min="12806" max="12806" width="3.88671875" style="516" customWidth="1"/>
    <col min="12807" max="12808" width="4.33203125" style="516" customWidth="1"/>
    <col min="12809" max="12809" width="11.44140625" style="516" customWidth="1"/>
    <col min="12810" max="12812" width="10.6640625" style="516" customWidth="1"/>
    <col min="12813" max="13049" width="8.6640625" style="516"/>
    <col min="13050" max="13050" width="4.33203125" style="516" customWidth="1"/>
    <col min="13051" max="13051" width="2.88671875" style="516" customWidth="1"/>
    <col min="13052" max="13052" width="34.33203125" style="516" customWidth="1"/>
    <col min="13053" max="13053" width="11.44140625" style="516" customWidth="1"/>
    <col min="13054" max="13054" width="2.88671875" style="516" customWidth="1"/>
    <col min="13055" max="13055" width="11.44140625" style="516" customWidth="1"/>
    <col min="13056" max="13056" width="2.88671875" style="516" customWidth="1"/>
    <col min="13057" max="13057" width="11.44140625" style="516" customWidth="1"/>
    <col min="13058" max="13058" width="2.88671875" style="516" customWidth="1"/>
    <col min="13059" max="13059" width="11.44140625" style="516" customWidth="1"/>
    <col min="13060" max="13060" width="2.109375" style="516" customWidth="1"/>
    <col min="13061" max="13061" width="11.44140625" style="516" customWidth="1"/>
    <col min="13062" max="13062" width="3.88671875" style="516" customWidth="1"/>
    <col min="13063" max="13064" width="4.33203125" style="516" customWidth="1"/>
    <col min="13065" max="13065" width="11.44140625" style="516" customWidth="1"/>
    <col min="13066" max="13068" width="10.6640625" style="516" customWidth="1"/>
    <col min="13069" max="13305" width="8.6640625" style="516"/>
    <col min="13306" max="13306" width="4.33203125" style="516" customWidth="1"/>
    <col min="13307" max="13307" width="2.88671875" style="516" customWidth="1"/>
    <col min="13308" max="13308" width="34.33203125" style="516" customWidth="1"/>
    <col min="13309" max="13309" width="11.44140625" style="516" customWidth="1"/>
    <col min="13310" max="13310" width="2.88671875" style="516" customWidth="1"/>
    <col min="13311" max="13311" width="11.44140625" style="516" customWidth="1"/>
    <col min="13312" max="13312" width="2.88671875" style="516" customWidth="1"/>
    <col min="13313" max="13313" width="11.44140625" style="516" customWidth="1"/>
    <col min="13314" max="13314" width="2.88671875" style="516" customWidth="1"/>
    <col min="13315" max="13315" width="11.44140625" style="516" customWidth="1"/>
    <col min="13316" max="13316" width="2.109375" style="516" customWidth="1"/>
    <col min="13317" max="13317" width="11.44140625" style="516" customWidth="1"/>
    <col min="13318" max="13318" width="3.88671875" style="516" customWidth="1"/>
    <col min="13319" max="13320" width="4.33203125" style="516" customWidth="1"/>
    <col min="13321" max="13321" width="11.44140625" style="516" customWidth="1"/>
    <col min="13322" max="13324" width="10.6640625" style="516" customWidth="1"/>
    <col min="13325" max="13561" width="8.6640625" style="516"/>
    <col min="13562" max="13562" width="4.33203125" style="516" customWidth="1"/>
    <col min="13563" max="13563" width="2.88671875" style="516" customWidth="1"/>
    <col min="13564" max="13564" width="34.33203125" style="516" customWidth="1"/>
    <col min="13565" max="13565" width="11.44140625" style="516" customWidth="1"/>
    <col min="13566" max="13566" width="2.88671875" style="516" customWidth="1"/>
    <col min="13567" max="13567" width="11.44140625" style="516" customWidth="1"/>
    <col min="13568" max="13568" width="2.88671875" style="516" customWidth="1"/>
    <col min="13569" max="13569" width="11.44140625" style="516" customWidth="1"/>
    <col min="13570" max="13570" width="2.88671875" style="516" customWidth="1"/>
    <col min="13571" max="13571" width="11.44140625" style="516" customWidth="1"/>
    <col min="13572" max="13572" width="2.109375" style="516" customWidth="1"/>
    <col min="13573" max="13573" width="11.44140625" style="516" customWidth="1"/>
    <col min="13574" max="13574" width="3.88671875" style="516" customWidth="1"/>
    <col min="13575" max="13576" width="4.33203125" style="516" customWidth="1"/>
    <col min="13577" max="13577" width="11.44140625" style="516" customWidth="1"/>
    <col min="13578" max="13580" width="10.6640625" style="516" customWidth="1"/>
    <col min="13581" max="13817" width="8.6640625" style="516"/>
    <col min="13818" max="13818" width="4.33203125" style="516" customWidth="1"/>
    <col min="13819" max="13819" width="2.88671875" style="516" customWidth="1"/>
    <col min="13820" max="13820" width="34.33203125" style="516" customWidth="1"/>
    <col min="13821" max="13821" width="11.44140625" style="516" customWidth="1"/>
    <col min="13822" max="13822" width="2.88671875" style="516" customWidth="1"/>
    <col min="13823" max="13823" width="11.44140625" style="516" customWidth="1"/>
    <col min="13824" max="13824" width="2.88671875" style="516" customWidth="1"/>
    <col min="13825" max="13825" width="11.44140625" style="516" customWidth="1"/>
    <col min="13826" max="13826" width="2.88671875" style="516" customWidth="1"/>
    <col min="13827" max="13827" width="11.44140625" style="516" customWidth="1"/>
    <col min="13828" max="13828" width="2.109375" style="516" customWidth="1"/>
    <col min="13829" max="13829" width="11.44140625" style="516" customWidth="1"/>
    <col min="13830" max="13830" width="3.88671875" style="516" customWidth="1"/>
    <col min="13831" max="13832" width="4.33203125" style="516" customWidth="1"/>
    <col min="13833" max="13833" width="11.44140625" style="516" customWidth="1"/>
    <col min="13834" max="13836" width="10.6640625" style="516" customWidth="1"/>
    <col min="13837" max="14073" width="8.6640625" style="516"/>
    <col min="14074" max="14074" width="4.33203125" style="516" customWidth="1"/>
    <col min="14075" max="14075" width="2.88671875" style="516" customWidth="1"/>
    <col min="14076" max="14076" width="34.33203125" style="516" customWidth="1"/>
    <col min="14077" max="14077" width="11.44140625" style="516" customWidth="1"/>
    <col min="14078" max="14078" width="2.88671875" style="516" customWidth="1"/>
    <col min="14079" max="14079" width="11.44140625" style="516" customWidth="1"/>
    <col min="14080" max="14080" width="2.88671875" style="516" customWidth="1"/>
    <col min="14081" max="14081" width="11.44140625" style="516" customWidth="1"/>
    <col min="14082" max="14082" width="2.88671875" style="516" customWidth="1"/>
    <col min="14083" max="14083" width="11.44140625" style="516" customWidth="1"/>
    <col min="14084" max="14084" width="2.109375" style="516" customWidth="1"/>
    <col min="14085" max="14085" width="11.44140625" style="516" customWidth="1"/>
    <col min="14086" max="14086" width="3.88671875" style="516" customWidth="1"/>
    <col min="14087" max="14088" width="4.33203125" style="516" customWidth="1"/>
    <col min="14089" max="14089" width="11.44140625" style="516" customWidth="1"/>
    <col min="14090" max="14092" width="10.6640625" style="516" customWidth="1"/>
    <col min="14093" max="14329" width="8.6640625" style="516"/>
    <col min="14330" max="14330" width="4.33203125" style="516" customWidth="1"/>
    <col min="14331" max="14331" width="2.88671875" style="516" customWidth="1"/>
    <col min="14332" max="14332" width="34.33203125" style="516" customWidth="1"/>
    <col min="14333" max="14333" width="11.44140625" style="516" customWidth="1"/>
    <col min="14334" max="14334" width="2.88671875" style="516" customWidth="1"/>
    <col min="14335" max="14335" width="11.44140625" style="516" customWidth="1"/>
    <col min="14336" max="14336" width="2.88671875" style="516" customWidth="1"/>
    <col min="14337" max="14337" width="11.44140625" style="516" customWidth="1"/>
    <col min="14338" max="14338" width="2.88671875" style="516" customWidth="1"/>
    <col min="14339" max="14339" width="11.44140625" style="516" customWidth="1"/>
    <col min="14340" max="14340" width="2.109375" style="516" customWidth="1"/>
    <col min="14341" max="14341" width="11.44140625" style="516" customWidth="1"/>
    <col min="14342" max="14342" width="3.88671875" style="516" customWidth="1"/>
    <col min="14343" max="14344" width="4.33203125" style="516" customWidth="1"/>
    <col min="14345" max="14345" width="11.44140625" style="516" customWidth="1"/>
    <col min="14346" max="14348" width="10.6640625" style="516" customWidth="1"/>
    <col min="14349" max="14585" width="8.6640625" style="516"/>
    <col min="14586" max="14586" width="4.33203125" style="516" customWidth="1"/>
    <col min="14587" max="14587" width="2.88671875" style="516" customWidth="1"/>
    <col min="14588" max="14588" width="34.33203125" style="516" customWidth="1"/>
    <col min="14589" max="14589" width="11.44140625" style="516" customWidth="1"/>
    <col min="14590" max="14590" width="2.88671875" style="516" customWidth="1"/>
    <col min="14591" max="14591" width="11.44140625" style="516" customWidth="1"/>
    <col min="14592" max="14592" width="2.88671875" style="516" customWidth="1"/>
    <col min="14593" max="14593" width="11.44140625" style="516" customWidth="1"/>
    <col min="14594" max="14594" width="2.88671875" style="516" customWidth="1"/>
    <col min="14595" max="14595" width="11.44140625" style="516" customWidth="1"/>
    <col min="14596" max="14596" width="2.109375" style="516" customWidth="1"/>
    <col min="14597" max="14597" width="11.44140625" style="516" customWidth="1"/>
    <col min="14598" max="14598" width="3.88671875" style="516" customWidth="1"/>
    <col min="14599" max="14600" width="4.33203125" style="516" customWidth="1"/>
    <col min="14601" max="14601" width="11.44140625" style="516" customWidth="1"/>
    <col min="14602" max="14604" width="10.6640625" style="516" customWidth="1"/>
    <col min="14605" max="14841" width="8.6640625" style="516"/>
    <col min="14842" max="14842" width="4.33203125" style="516" customWidth="1"/>
    <col min="14843" max="14843" width="2.88671875" style="516" customWidth="1"/>
    <col min="14844" max="14844" width="34.33203125" style="516" customWidth="1"/>
    <col min="14845" max="14845" width="11.44140625" style="516" customWidth="1"/>
    <col min="14846" max="14846" width="2.88671875" style="516" customWidth="1"/>
    <col min="14847" max="14847" width="11.44140625" style="516" customWidth="1"/>
    <col min="14848" max="14848" width="2.88671875" style="516" customWidth="1"/>
    <col min="14849" max="14849" width="11.44140625" style="516" customWidth="1"/>
    <col min="14850" max="14850" width="2.88671875" style="516" customWidth="1"/>
    <col min="14851" max="14851" width="11.44140625" style="516" customWidth="1"/>
    <col min="14852" max="14852" width="2.109375" style="516" customWidth="1"/>
    <col min="14853" max="14853" width="11.44140625" style="516" customWidth="1"/>
    <col min="14854" max="14854" width="3.88671875" style="516" customWidth="1"/>
    <col min="14855" max="14856" width="4.33203125" style="516" customWidth="1"/>
    <col min="14857" max="14857" width="11.44140625" style="516" customWidth="1"/>
    <col min="14858" max="14860" width="10.6640625" style="516" customWidth="1"/>
    <col min="14861" max="15097" width="8.6640625" style="516"/>
    <col min="15098" max="15098" width="4.33203125" style="516" customWidth="1"/>
    <col min="15099" max="15099" width="2.88671875" style="516" customWidth="1"/>
    <col min="15100" max="15100" width="34.33203125" style="516" customWidth="1"/>
    <col min="15101" max="15101" width="11.44140625" style="516" customWidth="1"/>
    <col min="15102" max="15102" width="2.88671875" style="516" customWidth="1"/>
    <col min="15103" max="15103" width="11.44140625" style="516" customWidth="1"/>
    <col min="15104" max="15104" width="2.88671875" style="516" customWidth="1"/>
    <col min="15105" max="15105" width="11.44140625" style="516" customWidth="1"/>
    <col min="15106" max="15106" width="2.88671875" style="516" customWidth="1"/>
    <col min="15107" max="15107" width="11.44140625" style="516" customWidth="1"/>
    <col min="15108" max="15108" width="2.109375" style="516" customWidth="1"/>
    <col min="15109" max="15109" width="11.44140625" style="516" customWidth="1"/>
    <col min="15110" max="15110" width="3.88671875" style="516" customWidth="1"/>
    <col min="15111" max="15112" width="4.33203125" style="516" customWidth="1"/>
    <col min="15113" max="15113" width="11.44140625" style="516" customWidth="1"/>
    <col min="15114" max="15116" width="10.6640625" style="516" customWidth="1"/>
    <col min="15117" max="15353" width="8.6640625" style="516"/>
    <col min="15354" max="15354" width="4.33203125" style="516" customWidth="1"/>
    <col min="15355" max="15355" width="2.88671875" style="516" customWidth="1"/>
    <col min="15356" max="15356" width="34.33203125" style="516" customWidth="1"/>
    <col min="15357" max="15357" width="11.44140625" style="516" customWidth="1"/>
    <col min="15358" max="15358" width="2.88671875" style="516" customWidth="1"/>
    <col min="15359" max="15359" width="11.44140625" style="516" customWidth="1"/>
    <col min="15360" max="15360" width="2.88671875" style="516" customWidth="1"/>
    <col min="15361" max="15361" width="11.44140625" style="516" customWidth="1"/>
    <col min="15362" max="15362" width="2.88671875" style="516" customWidth="1"/>
    <col min="15363" max="15363" width="11.44140625" style="516" customWidth="1"/>
    <col min="15364" max="15364" width="2.109375" style="516" customWidth="1"/>
    <col min="15365" max="15365" width="11.44140625" style="516" customWidth="1"/>
    <col min="15366" max="15366" width="3.88671875" style="516" customWidth="1"/>
    <col min="15367" max="15368" width="4.33203125" style="516" customWidth="1"/>
    <col min="15369" max="15369" width="11.44140625" style="516" customWidth="1"/>
    <col min="15370" max="15372" width="10.6640625" style="516" customWidth="1"/>
    <col min="15373" max="15609" width="8.6640625" style="516"/>
    <col min="15610" max="15610" width="4.33203125" style="516" customWidth="1"/>
    <col min="15611" max="15611" width="2.88671875" style="516" customWidth="1"/>
    <col min="15612" max="15612" width="34.33203125" style="516" customWidth="1"/>
    <col min="15613" max="15613" width="11.44140625" style="516" customWidth="1"/>
    <col min="15614" max="15614" width="2.88671875" style="516" customWidth="1"/>
    <col min="15615" max="15615" width="11.44140625" style="516" customWidth="1"/>
    <col min="15616" max="15616" width="2.88671875" style="516" customWidth="1"/>
    <col min="15617" max="15617" width="11.44140625" style="516" customWidth="1"/>
    <col min="15618" max="15618" width="2.88671875" style="516" customWidth="1"/>
    <col min="15619" max="15619" width="11.44140625" style="516" customWidth="1"/>
    <col min="15620" max="15620" width="2.109375" style="516" customWidth="1"/>
    <col min="15621" max="15621" width="11.44140625" style="516" customWidth="1"/>
    <col min="15622" max="15622" width="3.88671875" style="516" customWidth="1"/>
    <col min="15623" max="15624" width="4.33203125" style="516" customWidth="1"/>
    <col min="15625" max="15625" width="11.44140625" style="516" customWidth="1"/>
    <col min="15626" max="15628" width="10.6640625" style="516" customWidth="1"/>
    <col min="15629" max="15865" width="8.6640625" style="516"/>
    <col min="15866" max="15866" width="4.33203125" style="516" customWidth="1"/>
    <col min="15867" max="15867" width="2.88671875" style="516" customWidth="1"/>
    <col min="15868" max="15868" width="34.33203125" style="516" customWidth="1"/>
    <col min="15869" max="15869" width="11.44140625" style="516" customWidth="1"/>
    <col min="15870" max="15870" width="2.88671875" style="516" customWidth="1"/>
    <col min="15871" max="15871" width="11.44140625" style="516" customWidth="1"/>
    <col min="15872" max="15872" width="2.88671875" style="516" customWidth="1"/>
    <col min="15873" max="15873" width="11.44140625" style="516" customWidth="1"/>
    <col min="15874" max="15874" width="2.88671875" style="516" customWidth="1"/>
    <col min="15875" max="15875" width="11.44140625" style="516" customWidth="1"/>
    <col min="15876" max="15876" width="2.109375" style="516" customWidth="1"/>
    <col min="15877" max="15877" width="11.44140625" style="516" customWidth="1"/>
    <col min="15878" max="15878" width="3.88671875" style="516" customWidth="1"/>
    <col min="15879" max="15880" width="4.33203125" style="516" customWidth="1"/>
    <col min="15881" max="15881" width="11.44140625" style="516" customWidth="1"/>
    <col min="15882" max="15884" width="10.6640625" style="516" customWidth="1"/>
    <col min="15885" max="16121" width="8.6640625" style="516"/>
    <col min="16122" max="16122" width="4.33203125" style="516" customWidth="1"/>
    <col min="16123" max="16123" width="2.88671875" style="516" customWidth="1"/>
    <col min="16124" max="16124" width="34.33203125" style="516" customWidth="1"/>
    <col min="16125" max="16125" width="11.44140625" style="516" customWidth="1"/>
    <col min="16126" max="16126" width="2.88671875" style="516" customWidth="1"/>
    <col min="16127" max="16127" width="11.44140625" style="516" customWidth="1"/>
    <col min="16128" max="16128" width="2.88671875" style="516" customWidth="1"/>
    <col min="16129" max="16129" width="11.44140625" style="516" customWidth="1"/>
    <col min="16130" max="16130" width="2.88671875" style="516" customWidth="1"/>
    <col min="16131" max="16131" width="11.44140625" style="516" customWidth="1"/>
    <col min="16132" max="16132" width="2.109375" style="516" customWidth="1"/>
    <col min="16133" max="16133" width="11.44140625" style="516" customWidth="1"/>
    <col min="16134" max="16134" width="3.88671875" style="516" customWidth="1"/>
    <col min="16135" max="16136" width="4.33203125" style="516" customWidth="1"/>
    <col min="16137" max="16137" width="11.44140625" style="516" customWidth="1"/>
    <col min="16138" max="16140" width="10.6640625" style="516" customWidth="1"/>
    <col min="16141" max="16377" width="8.6640625" style="516"/>
    <col min="16378" max="16384" width="8.6640625" style="516" customWidth="1"/>
  </cols>
  <sheetData>
    <row r="1" spans="1:15">
      <c r="A1" s="515"/>
      <c r="O1" s="517" t="s">
        <v>889</v>
      </c>
    </row>
    <row r="2" spans="1:15">
      <c r="A2" s="515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7" t="s">
        <v>797</v>
      </c>
    </row>
    <row r="3" spans="1:15">
      <c r="A3" s="1173" t="s">
        <v>4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  <c r="L3" s="1173"/>
      <c r="M3" s="1173"/>
      <c r="N3" s="1173"/>
      <c r="O3" s="1173"/>
    </row>
    <row r="4" spans="1:15">
      <c r="A4" s="1173" t="s">
        <v>890</v>
      </c>
      <c r="B4" s="1173"/>
      <c r="C4" s="1173"/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</row>
    <row r="5" spans="1:15">
      <c r="A5" s="1173" t="str">
        <f>'A2'!A5</f>
        <v>Prior Years Ended December 31, 2022 and 2023, Test Year Ended June 30, 2024</v>
      </c>
      <c r="B5" s="1173"/>
      <c r="C5" s="1173"/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</row>
    <row r="6" spans="1:15">
      <c r="A6" s="1173" t="str">
        <f>'A2'!A6</f>
        <v>and Projected Year Ended June 30, 2025</v>
      </c>
      <c r="B6" s="1173"/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3"/>
      <c r="N6" s="1173"/>
      <c r="O6" s="1173"/>
    </row>
    <row r="7" spans="1:15">
      <c r="A7" s="1173" t="s">
        <v>799</v>
      </c>
      <c r="B7" s="1173"/>
      <c r="C7" s="1173"/>
      <c r="D7" s="1173"/>
      <c r="E7" s="1173"/>
      <c r="F7" s="1173"/>
      <c r="G7" s="1173"/>
      <c r="H7" s="1173"/>
      <c r="I7" s="1173"/>
      <c r="J7" s="1173"/>
      <c r="K7" s="1173"/>
      <c r="L7" s="1173"/>
      <c r="M7" s="1173"/>
      <c r="N7" s="1173"/>
      <c r="O7" s="1173"/>
    </row>
    <row r="8" spans="1:15">
      <c r="A8" s="518"/>
      <c r="B8" s="518"/>
      <c r="C8" s="518"/>
      <c r="D8" s="518"/>
      <c r="E8" s="518"/>
      <c r="F8" s="518"/>
      <c r="G8" s="518"/>
      <c r="H8" s="518"/>
      <c r="I8" s="518"/>
      <c r="J8" s="518"/>
      <c r="K8" s="518"/>
      <c r="L8" s="518"/>
      <c r="M8" s="518"/>
      <c r="N8" s="518"/>
      <c r="O8" s="518"/>
    </row>
    <row r="9" spans="1:15">
      <c r="H9" s="518"/>
      <c r="I9" s="518"/>
      <c r="J9" s="518"/>
      <c r="K9" s="1175" t="s">
        <v>1533</v>
      </c>
      <c r="L9" s="1173"/>
      <c r="M9" s="1173"/>
      <c r="N9" s="518"/>
    </row>
    <row r="10" spans="1:15">
      <c r="E10" s="1172" t="s">
        <v>956</v>
      </c>
      <c r="F10" s="1173"/>
      <c r="G10" s="1173"/>
      <c r="I10" s="1175" t="s">
        <v>1534</v>
      </c>
      <c r="J10" s="518"/>
      <c r="K10" s="1174"/>
      <c r="L10" s="1174"/>
      <c r="M10" s="1174"/>
      <c r="N10" s="518"/>
    </row>
    <row r="11" spans="1:15">
      <c r="A11" s="519" t="s">
        <v>331</v>
      </c>
      <c r="E11" s="1174"/>
      <c r="F11" s="1174"/>
      <c r="G11" s="1174"/>
      <c r="I11" s="1176"/>
      <c r="J11" s="518"/>
      <c r="K11" s="519" t="s">
        <v>851</v>
      </c>
      <c r="L11" s="519"/>
      <c r="M11" s="519" t="s">
        <v>816</v>
      </c>
      <c r="O11" s="519" t="s">
        <v>331</v>
      </c>
    </row>
    <row r="12" spans="1:15">
      <c r="A12" s="559" t="s">
        <v>333</v>
      </c>
      <c r="C12" s="1137" t="s">
        <v>0</v>
      </c>
      <c r="E12" s="869" t="s">
        <v>957</v>
      </c>
      <c r="F12" s="870"/>
      <c r="G12" s="869" t="s">
        <v>1441</v>
      </c>
      <c r="I12" s="559" t="s">
        <v>891</v>
      </c>
      <c r="J12" s="519"/>
      <c r="K12" s="559" t="s">
        <v>892</v>
      </c>
      <c r="L12" s="519"/>
      <c r="M12" s="559" t="s">
        <v>893</v>
      </c>
      <c r="O12" s="559" t="s">
        <v>333</v>
      </c>
    </row>
    <row r="13" spans="1:15">
      <c r="E13" s="519"/>
      <c r="F13" s="519"/>
      <c r="G13" s="561"/>
      <c r="I13" s="561"/>
      <c r="J13" s="519"/>
      <c r="K13" s="519"/>
      <c r="L13" s="519"/>
      <c r="M13" s="519"/>
      <c r="N13" s="519"/>
    </row>
    <row r="14" spans="1:15">
      <c r="C14" s="560" t="s">
        <v>894</v>
      </c>
      <c r="D14" s="560"/>
    </row>
    <row r="15" spans="1:15">
      <c r="A15" s="519">
        <v>1</v>
      </c>
      <c r="C15" s="516" t="s">
        <v>895</v>
      </c>
      <c r="E15" s="562">
        <v>0</v>
      </c>
      <c r="F15" s="562"/>
      <c r="G15" s="562">
        <v>0</v>
      </c>
      <c r="H15" s="562"/>
      <c r="I15" s="562">
        <v>0</v>
      </c>
      <c r="K15" s="562">
        <v>0</v>
      </c>
      <c r="M15" s="562">
        <v>0</v>
      </c>
      <c r="O15" s="519">
        <f>+A15</f>
        <v>1</v>
      </c>
    </row>
    <row r="16" spans="1:15">
      <c r="A16" s="519">
        <f>+A15+1</f>
        <v>2</v>
      </c>
      <c r="C16" s="516" t="s">
        <v>896</v>
      </c>
      <c r="E16" s="563">
        <f>'E1'!D51-E80</f>
        <v>95000</v>
      </c>
      <c r="F16" s="528"/>
      <c r="G16" s="563">
        <f>'E1'!C51-G80</f>
        <v>95000</v>
      </c>
      <c r="I16" s="563">
        <f>'E1'!B51-I80</f>
        <v>125000</v>
      </c>
      <c r="J16" s="526"/>
      <c r="K16" s="563">
        <f>'D1 P2'!E14</f>
        <v>124269.728</v>
      </c>
      <c r="L16" s="564" t="s">
        <v>825</v>
      </c>
      <c r="M16" s="563">
        <f>K16</f>
        <v>124269.728</v>
      </c>
      <c r="N16" s="564" t="s">
        <v>825</v>
      </c>
      <c r="O16" s="519">
        <f>+A16</f>
        <v>2</v>
      </c>
    </row>
    <row r="17" spans="1:15">
      <c r="A17" s="519">
        <f>+A16+1</f>
        <v>3</v>
      </c>
      <c r="C17" s="516" t="s">
        <v>897</v>
      </c>
      <c r="E17" s="531">
        <f>SUM(E15:E16)</f>
        <v>95000</v>
      </c>
      <c r="F17" s="528"/>
      <c r="G17" s="528">
        <f>SUM(G15:G16)</f>
        <v>95000</v>
      </c>
      <c r="I17" s="528">
        <f>SUM(I15:I16)</f>
        <v>125000</v>
      </c>
      <c r="J17" s="528"/>
      <c r="K17" s="528">
        <f>SUM(K15:K16)</f>
        <v>124269.728</v>
      </c>
      <c r="L17" s="528"/>
      <c r="M17" s="528">
        <f>SUM(M15:M16)</f>
        <v>124269.728</v>
      </c>
      <c r="N17" s="528"/>
      <c r="O17" s="519"/>
    </row>
    <row r="18" spans="1:15">
      <c r="A18" s="519"/>
      <c r="E18" s="526"/>
      <c r="F18" s="526"/>
      <c r="G18" s="526"/>
      <c r="I18" s="526"/>
      <c r="J18" s="565"/>
      <c r="K18" s="526"/>
      <c r="L18" s="565"/>
      <c r="M18" s="526"/>
      <c r="N18" s="526"/>
      <c r="O18" s="519"/>
    </row>
    <row r="19" spans="1:15">
      <c r="A19" s="519">
        <f>+A17+1</f>
        <v>4</v>
      </c>
      <c r="C19" s="516" t="s">
        <v>898</v>
      </c>
      <c r="E19" s="531">
        <f>'E1'!D49</f>
        <v>142129</v>
      </c>
      <c r="F19" s="528"/>
      <c r="G19" s="531">
        <f>'E1'!C49</f>
        <v>148155</v>
      </c>
      <c r="H19" s="528"/>
      <c r="I19" s="531">
        <f>'E1'!B49</f>
        <v>155109</v>
      </c>
      <c r="J19" s="528"/>
      <c r="K19" s="531">
        <f>'D1 P2'!E15</f>
        <v>162949</v>
      </c>
      <c r="L19" s="528"/>
      <c r="M19" s="563">
        <v>175021.29267573028</v>
      </c>
      <c r="N19" s="517"/>
      <c r="O19" s="519">
        <f>+A17</f>
        <v>3</v>
      </c>
    </row>
    <row r="20" spans="1:15" ht="10.8" thickBot="1">
      <c r="A20" s="519">
        <f>+A19+1</f>
        <v>5</v>
      </c>
      <c r="C20" s="516" t="s">
        <v>899</v>
      </c>
      <c r="E20" s="566">
        <f>SUM(E17:E19)</f>
        <v>237129</v>
      </c>
      <c r="F20" s="526"/>
      <c r="G20" s="566">
        <f>SUM(G17:G19)</f>
        <v>243155</v>
      </c>
      <c r="I20" s="566">
        <f>SUM(I17:I19)</f>
        <v>280109</v>
      </c>
      <c r="J20" s="526"/>
      <c r="K20" s="566">
        <f>SUM(K17:K19)</f>
        <v>287218.728</v>
      </c>
      <c r="L20" s="526"/>
      <c r="M20" s="566">
        <f>SUM(M17:M19)</f>
        <v>299291.02067573031</v>
      </c>
      <c r="N20" s="526"/>
      <c r="O20" s="519">
        <f>+A19</f>
        <v>4</v>
      </c>
    </row>
    <row r="21" spans="1:15" ht="10.8" thickTop="1">
      <c r="A21" s="519"/>
      <c r="O21" s="519"/>
    </row>
    <row r="22" spans="1:15">
      <c r="A22" s="519"/>
      <c r="O22" s="519"/>
    </row>
    <row r="23" spans="1:15">
      <c r="A23" s="519"/>
      <c r="C23" s="560" t="s">
        <v>900</v>
      </c>
      <c r="D23" s="560"/>
      <c r="O23" s="519"/>
    </row>
    <row r="24" spans="1:15">
      <c r="A24" s="519">
        <f>+A20+1</f>
        <v>6</v>
      </c>
      <c r="C24" s="516" t="s">
        <v>895</v>
      </c>
      <c r="E24" s="567">
        <f>E15/E20</f>
        <v>0</v>
      </c>
      <c r="G24" s="567">
        <f>G15/G20</f>
        <v>0</v>
      </c>
      <c r="I24" s="567">
        <v>0</v>
      </c>
      <c r="J24" s="568"/>
      <c r="K24" s="567">
        <v>0</v>
      </c>
      <c r="L24" s="568"/>
      <c r="M24" s="567">
        <f>+M15/M20</f>
        <v>0</v>
      </c>
      <c r="O24" s="519">
        <f>+A20</f>
        <v>5</v>
      </c>
    </row>
    <row r="25" spans="1:15">
      <c r="A25" s="519">
        <f>+A24+1</f>
        <v>7</v>
      </c>
      <c r="C25" s="516" t="s">
        <v>901</v>
      </c>
      <c r="E25" s="567">
        <f>+E16/E20</f>
        <v>0.40062581970151268</v>
      </c>
      <c r="F25" s="528"/>
      <c r="G25" s="567">
        <f>G16/G20</f>
        <v>0.39069729185087704</v>
      </c>
      <c r="I25" s="567">
        <f>'D1 P1'!G14</f>
        <v>0.44450000000000001</v>
      </c>
      <c r="J25" s="568"/>
      <c r="K25" s="567">
        <f>'D1 P2'!G14</f>
        <v>0.433</v>
      </c>
      <c r="L25" s="568"/>
      <c r="M25" s="567">
        <f>+M16/M20</f>
        <v>0.41521368639602863</v>
      </c>
      <c r="N25" s="528"/>
      <c r="O25" s="519">
        <f>+A24</f>
        <v>6</v>
      </c>
    </row>
    <row r="26" spans="1:15">
      <c r="A26" s="519">
        <f>+A25+1</f>
        <v>8</v>
      </c>
      <c r="C26" s="516" t="s">
        <v>898</v>
      </c>
      <c r="E26" s="567">
        <f>E19/E20</f>
        <v>0.59937418029848732</v>
      </c>
      <c r="G26" s="567">
        <f>G19/G20</f>
        <v>0.60930270814912302</v>
      </c>
      <c r="I26" s="567">
        <f>'D1 P1'!G15</f>
        <v>0.55549999999999999</v>
      </c>
      <c r="J26" s="528"/>
      <c r="K26" s="567">
        <f>'D1 P2'!G15</f>
        <v>0.56699999999999995</v>
      </c>
      <c r="L26" s="528"/>
      <c r="M26" s="567">
        <f>M19/M20</f>
        <v>0.58478631360397126</v>
      </c>
      <c r="N26" s="567"/>
      <c r="O26" s="519">
        <f>+A25</f>
        <v>7</v>
      </c>
    </row>
    <row r="27" spans="1:15" ht="10.8" thickBot="1">
      <c r="A27" s="519">
        <f>+A26+1</f>
        <v>9</v>
      </c>
      <c r="C27" s="516" t="str">
        <f>C20</f>
        <v xml:space="preserve">      Total Capital</v>
      </c>
      <c r="E27" s="569">
        <f>SUM(E24:E26)</f>
        <v>1</v>
      </c>
      <c r="F27" s="567"/>
      <c r="G27" s="569">
        <f>SUM(G25:G26)</f>
        <v>1</v>
      </c>
      <c r="I27" s="569">
        <f>SUM(I24:I26)</f>
        <v>1</v>
      </c>
      <c r="J27" s="567"/>
      <c r="K27" s="569">
        <f>SUM(K24:K26)</f>
        <v>1</v>
      </c>
      <c r="L27" s="567"/>
      <c r="M27" s="569">
        <f>SUM(M24:M26)</f>
        <v>0.99999999999999989</v>
      </c>
      <c r="N27" s="567"/>
      <c r="O27" s="519">
        <f>+A26</f>
        <v>8</v>
      </c>
    </row>
    <row r="28" spans="1:15" ht="10.8" thickTop="1">
      <c r="A28" s="519"/>
      <c r="E28" s="533"/>
      <c r="G28" s="570"/>
      <c r="I28" s="568"/>
      <c r="J28" s="568"/>
      <c r="L28" s="568"/>
      <c r="O28" s="519"/>
    </row>
    <row r="29" spans="1:15">
      <c r="A29" s="519"/>
      <c r="E29" s="533"/>
      <c r="G29" s="570"/>
      <c r="I29" s="568"/>
      <c r="J29" s="568"/>
      <c r="L29" s="568"/>
      <c r="O29" s="519"/>
    </row>
    <row r="30" spans="1:15">
      <c r="A30" s="519"/>
      <c r="E30" s="570"/>
      <c r="G30" s="570"/>
      <c r="I30" s="568"/>
      <c r="J30" s="568"/>
      <c r="L30" s="568"/>
      <c r="O30" s="519"/>
    </row>
    <row r="31" spans="1:15">
      <c r="A31" s="519">
        <f>+A27+1</f>
        <v>10</v>
      </c>
      <c r="C31" s="516" t="s">
        <v>902</v>
      </c>
      <c r="E31" s="568">
        <f>+E24*'D1 P1'!$I$13</f>
        <v>0</v>
      </c>
      <c r="G31" s="568">
        <f>+G24*'D1 P1'!$I$13</f>
        <v>0</v>
      </c>
      <c r="I31" s="568">
        <f>+'D1 P1'!$K$13</f>
        <v>0</v>
      </c>
      <c r="J31" s="568"/>
      <c r="K31" s="567">
        <f>+'D1 P2'!$K$13</f>
        <v>0</v>
      </c>
      <c r="L31" s="568"/>
      <c r="M31" s="494">
        <f>M24*'D1 P2'!$I$14</f>
        <v>0</v>
      </c>
      <c r="O31" s="519">
        <f>+A27</f>
        <v>9</v>
      </c>
    </row>
    <row r="32" spans="1:15">
      <c r="A32" s="519">
        <f>+A31+1</f>
        <v>11</v>
      </c>
      <c r="C32" s="516" t="s">
        <v>903</v>
      </c>
      <c r="E32" s="568">
        <f>+E25*'D1 P1'!I14</f>
        <v>2.0531563410679125E-2</v>
      </c>
      <c r="F32" s="544"/>
      <c r="G32" s="568">
        <f>+G25*'D1 P1'!$I$14</f>
        <v>2.0022738993690982E-2</v>
      </c>
      <c r="I32" s="568">
        <f>+'D1 P1'!$K$14</f>
        <v>2.2800000000000001E-2</v>
      </c>
      <c r="J32" s="568"/>
      <c r="K32" s="567">
        <f>'D1 P2'!K14</f>
        <v>2.2262635539042942E-2</v>
      </c>
      <c r="L32" s="568"/>
      <c r="M32" s="494">
        <f>M25*'D1 P2'!I14</f>
        <v>2.1348154667568724E-2</v>
      </c>
      <c r="N32" s="568"/>
      <c r="O32" s="519">
        <f>+A31</f>
        <v>10</v>
      </c>
    </row>
    <row r="33" spans="1:15">
      <c r="A33" s="519">
        <f>+A32+1</f>
        <v>12</v>
      </c>
      <c r="C33" s="516" t="s">
        <v>904</v>
      </c>
      <c r="E33" s="568">
        <f>+E26*'D1 P1'!I15</f>
        <v>6.1435853480594944E-2</v>
      </c>
      <c r="F33" s="544"/>
      <c r="G33" s="568">
        <f>+G26*'D1 P1'!$I$15</f>
        <v>6.2453527585285107E-2</v>
      </c>
      <c r="I33" s="568">
        <f>+'D1 P1'!$K$15</f>
        <v>5.6899999999999999E-2</v>
      </c>
      <c r="J33" s="568"/>
      <c r="K33" s="567">
        <f>'D1 P2'!K15</f>
        <v>5.8117499999999989E-2</v>
      </c>
      <c r="L33" s="568"/>
      <c r="M33" s="494">
        <f>M26*'D1 P2'!$I$15</f>
        <v>5.9940597144407054E-2</v>
      </c>
      <c r="O33" s="519">
        <f>+A32</f>
        <v>11</v>
      </c>
    </row>
    <row r="34" spans="1:15">
      <c r="A34" s="519"/>
      <c r="E34" s="571"/>
      <c r="F34" s="572"/>
      <c r="G34" s="571"/>
      <c r="H34" s="568"/>
      <c r="I34" s="568"/>
      <c r="J34" s="568"/>
      <c r="K34" s="568"/>
      <c r="L34" s="568"/>
      <c r="M34" s="568"/>
      <c r="N34" s="568"/>
      <c r="O34" s="519"/>
    </row>
    <row r="35" spans="1:15">
      <c r="A35" s="519"/>
      <c r="C35" s="516" t="s">
        <v>905</v>
      </c>
      <c r="E35" s="571"/>
      <c r="F35" s="572"/>
      <c r="G35" s="571"/>
      <c r="H35" s="568"/>
      <c r="I35" s="568"/>
      <c r="J35" s="568"/>
      <c r="K35" s="568"/>
      <c r="L35" s="568"/>
      <c r="M35" s="568"/>
      <c r="N35" s="568"/>
      <c r="O35" s="519"/>
    </row>
    <row r="36" spans="1:15">
      <c r="A36" s="519"/>
      <c r="E36" s="568"/>
      <c r="F36" s="568"/>
      <c r="G36" s="568"/>
      <c r="H36" s="568"/>
      <c r="I36" s="568"/>
      <c r="O36" s="519"/>
    </row>
    <row r="37" spans="1:15">
      <c r="A37" s="519"/>
      <c r="E37" s="568"/>
      <c r="F37" s="568"/>
      <c r="G37" s="568"/>
      <c r="H37" s="568"/>
      <c r="I37" s="568"/>
      <c r="O37" s="519"/>
    </row>
    <row r="38" spans="1:15">
      <c r="A38" s="519"/>
      <c r="E38" s="568"/>
      <c r="F38" s="568"/>
      <c r="G38" s="568"/>
      <c r="H38" s="568"/>
      <c r="I38" s="568"/>
      <c r="O38" s="519"/>
    </row>
    <row r="39" spans="1:15">
      <c r="A39" s="519"/>
      <c r="C39" s="532"/>
      <c r="D39" s="532"/>
      <c r="E39" s="568"/>
      <c r="F39" s="568"/>
      <c r="G39" s="568"/>
      <c r="H39" s="568"/>
      <c r="I39" s="568"/>
      <c r="J39" s="573"/>
      <c r="K39" s="573"/>
      <c r="L39" s="573"/>
      <c r="M39" s="573"/>
      <c r="O39" s="519"/>
    </row>
    <row r="40" spans="1:15">
      <c r="A40" s="519"/>
      <c r="C40" s="532"/>
      <c r="D40" s="532"/>
      <c r="E40" s="568"/>
      <c r="F40" s="568"/>
      <c r="G40" s="568"/>
      <c r="H40" s="568"/>
      <c r="I40" s="568"/>
      <c r="O40" s="519"/>
    </row>
    <row r="41" spans="1:15">
      <c r="A41" s="519"/>
      <c r="E41" s="568"/>
      <c r="F41" s="568"/>
      <c r="G41" s="568"/>
      <c r="H41" s="568"/>
      <c r="I41" s="568"/>
      <c r="O41" s="519"/>
    </row>
    <row r="42" spans="1:15">
      <c r="A42" s="519"/>
      <c r="E42" s="545" t="s">
        <v>826</v>
      </c>
      <c r="F42" s="568"/>
      <c r="G42" s="568"/>
      <c r="H42" s="568"/>
      <c r="I42" s="568"/>
      <c r="O42" s="519"/>
    </row>
    <row r="43" spans="1:15">
      <c r="E43" s="519" t="s">
        <v>906</v>
      </c>
    </row>
    <row r="44" spans="1:15">
      <c r="E44" s="519" t="s">
        <v>907</v>
      </c>
    </row>
    <row r="45" spans="1:15">
      <c r="C45" s="525"/>
      <c r="D45" s="525"/>
    </row>
    <row r="46" spans="1:15">
      <c r="C46" s="519"/>
      <c r="D46" s="519"/>
    </row>
    <row r="47" spans="1:15">
      <c r="A47" s="547" t="s">
        <v>908</v>
      </c>
      <c r="C47" s="519"/>
      <c r="D47" s="519"/>
    </row>
    <row r="49" spans="1:1">
      <c r="A49" s="547" t="s">
        <v>835</v>
      </c>
    </row>
    <row r="50" spans="1:1">
      <c r="A50" s="548" t="s">
        <v>909</v>
      </c>
    </row>
    <row r="51" spans="1:1">
      <c r="A51" s="548" t="s">
        <v>910</v>
      </c>
    </row>
    <row r="52" spans="1:1">
      <c r="A52" s="548" t="s">
        <v>911</v>
      </c>
    </row>
    <row r="53" spans="1:1">
      <c r="A53" s="548" t="s">
        <v>912</v>
      </c>
    </row>
    <row r="55" spans="1:1">
      <c r="A55" s="548" t="s">
        <v>913</v>
      </c>
    </row>
    <row r="56" spans="1:1">
      <c r="A56" s="548" t="s">
        <v>914</v>
      </c>
    </row>
    <row r="57" spans="1:1">
      <c r="A57" s="548" t="s">
        <v>915</v>
      </c>
    </row>
    <row r="58" spans="1:1">
      <c r="A58" s="548" t="s">
        <v>916</v>
      </c>
    </row>
    <row r="60" spans="1:1">
      <c r="A60" s="548" t="s">
        <v>917</v>
      </c>
    </row>
    <row r="61" spans="1:1">
      <c r="A61" s="548" t="s">
        <v>918</v>
      </c>
    </row>
    <row r="62" spans="1:1">
      <c r="A62" s="548" t="s">
        <v>919</v>
      </c>
    </row>
    <row r="63" spans="1:1">
      <c r="A63" s="548" t="s">
        <v>920</v>
      </c>
    </row>
    <row r="65" spans="1:10">
      <c r="A65" s="548" t="s">
        <v>1917</v>
      </c>
      <c r="B65" s="548"/>
    </row>
    <row r="66" spans="1:10">
      <c r="A66" s="548" t="s">
        <v>921</v>
      </c>
      <c r="B66" s="548"/>
    </row>
    <row r="67" spans="1:10">
      <c r="A67" s="548" t="s">
        <v>1918</v>
      </c>
      <c r="B67" s="548"/>
    </row>
    <row r="68" spans="1:10">
      <c r="A68" s="548" t="s">
        <v>922</v>
      </c>
      <c r="B68" s="548"/>
    </row>
    <row r="70" spans="1:10">
      <c r="A70" s="548" t="s">
        <v>923</v>
      </c>
      <c r="B70" s="548"/>
    </row>
    <row r="73" spans="1:10">
      <c r="C73" s="574"/>
      <c r="D73" s="574"/>
      <c r="E73" s="575" t="s">
        <v>924</v>
      </c>
      <c r="F73" s="576"/>
      <c r="G73" s="575" t="s">
        <v>924</v>
      </c>
      <c r="H73" s="577"/>
      <c r="I73" s="575" t="s">
        <v>925</v>
      </c>
    </row>
    <row r="74" spans="1:10">
      <c r="C74" s="578" t="s">
        <v>926</v>
      </c>
      <c r="D74" s="578"/>
      <c r="E74" s="579">
        <v>2022</v>
      </c>
      <c r="F74" s="580"/>
      <c r="G74" s="579">
        <v>2023</v>
      </c>
      <c r="H74" s="581"/>
      <c r="I74" s="582" t="s">
        <v>1442</v>
      </c>
    </row>
    <row r="75" spans="1:10">
      <c r="C75" s="583">
        <v>221</v>
      </c>
      <c r="D75" s="583"/>
      <c r="E75" s="583">
        <v>0</v>
      </c>
      <c r="F75" s="583"/>
      <c r="G75" s="583">
        <v>0</v>
      </c>
      <c r="H75" s="577"/>
      <c r="I75" s="583">
        <v>0</v>
      </c>
    </row>
    <row r="76" spans="1:10">
      <c r="C76" s="583">
        <v>224</v>
      </c>
      <c r="D76" s="583"/>
      <c r="E76" s="583">
        <v>95000</v>
      </c>
      <c r="F76" s="583"/>
      <c r="G76" s="583">
        <v>95000</v>
      </c>
      <c r="H76" s="577"/>
      <c r="I76" s="583">
        <v>125000</v>
      </c>
    </row>
    <row r="77" spans="1:10">
      <c r="C77" s="583">
        <v>226</v>
      </c>
      <c r="D77" s="583"/>
      <c r="E77" s="583">
        <v>0</v>
      </c>
      <c r="F77" s="583"/>
      <c r="G77" s="583">
        <v>0</v>
      </c>
      <c r="H77" s="583"/>
      <c r="I77" s="583">
        <v>0</v>
      </c>
    </row>
    <row r="78" spans="1:10">
      <c r="C78" s="577"/>
      <c r="D78" s="577"/>
      <c r="E78" s="577"/>
      <c r="F78" s="577"/>
      <c r="G78" s="577"/>
      <c r="H78" s="577"/>
      <c r="I78" s="577"/>
    </row>
    <row r="79" spans="1:10">
      <c r="C79" s="584" t="s">
        <v>927</v>
      </c>
      <c r="D79" s="584"/>
      <c r="E79" s="583">
        <v>125000</v>
      </c>
      <c r="F79" s="577"/>
      <c r="G79" s="583">
        <v>125000</v>
      </c>
      <c r="H79" s="577"/>
      <c r="I79" s="583">
        <f>SUM(I75:I78)</f>
        <v>125000</v>
      </c>
    </row>
    <row r="80" spans="1:10">
      <c r="C80" s="584" t="s">
        <v>928</v>
      </c>
      <c r="D80" s="584"/>
      <c r="E80" s="978"/>
      <c r="F80" s="978"/>
      <c r="G80" s="978"/>
      <c r="H80" s="978"/>
      <c r="I80" s="978"/>
      <c r="J80" s="516" t="s">
        <v>929</v>
      </c>
    </row>
    <row r="81" spans="3:9">
      <c r="C81" s="577"/>
      <c r="D81" s="577"/>
      <c r="E81" s="583">
        <f>SUM(E79:E80)</f>
        <v>125000</v>
      </c>
      <c r="F81" s="583"/>
      <c r="G81" s="583">
        <f>SUM(G79:G80)</f>
        <v>125000</v>
      </c>
      <c r="H81" s="583"/>
      <c r="I81" s="583">
        <f>SUM(I79:I80)</f>
        <v>125000</v>
      </c>
    </row>
    <row r="82" spans="3:9">
      <c r="C82" s="577"/>
      <c r="D82" s="577"/>
      <c r="E82" s="577"/>
      <c r="F82" s="577"/>
      <c r="G82" s="577"/>
      <c r="H82" s="577"/>
      <c r="I82" s="577">
        <f>'D2 P1'!E30</f>
        <v>124133.541</v>
      </c>
    </row>
    <row r="83" spans="3:9">
      <c r="C83" s="577"/>
      <c r="D83" s="577"/>
      <c r="E83" s="577"/>
      <c r="F83" s="577"/>
      <c r="G83" s="577"/>
      <c r="H83" s="577"/>
      <c r="I83" s="577">
        <f>I82-I81</f>
        <v>-866.45900000000256</v>
      </c>
    </row>
  </sheetData>
  <mergeCells count="8">
    <mergeCell ref="E10:G11"/>
    <mergeCell ref="K9:M10"/>
    <mergeCell ref="I10:I11"/>
    <mergeCell ref="A3:O3"/>
    <mergeCell ref="A4:O4"/>
    <mergeCell ref="A5:O5"/>
    <mergeCell ref="A6:O6"/>
    <mergeCell ref="A7:O7"/>
  </mergeCells>
  <printOptions horizontalCentered="1"/>
  <pageMargins left="0.7" right="0.7" top="0.75" bottom="0.75" header="0.3" footer="0.3"/>
  <pageSetup fitToHeight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170D2-0922-4FD0-A64C-DFC8A0E79D19}">
  <sheetPr>
    <tabColor rgb="FFFFFFCC"/>
    <pageSetUpPr fitToPage="1"/>
  </sheetPr>
  <dimension ref="A1:L58"/>
  <sheetViews>
    <sheetView showGridLines="0" zoomScaleNormal="100" zoomScaleSheetLayoutView="100" workbookViewId="0"/>
  </sheetViews>
  <sheetFormatPr defaultRowHeight="10.199999999999999"/>
  <cols>
    <col min="1" max="1" width="3.88671875" style="585" customWidth="1"/>
    <col min="2" max="2" width="2.88671875" style="585" customWidth="1"/>
    <col min="3" max="3" width="38.5546875" style="585" customWidth="1"/>
    <col min="4" max="4" width="2.88671875" style="585" customWidth="1"/>
    <col min="5" max="5" width="10.6640625" style="585" customWidth="1"/>
    <col min="6" max="6" width="2.88671875" style="585" customWidth="1"/>
    <col min="7" max="7" width="10.6640625" style="585" customWidth="1"/>
    <col min="8" max="8" width="2.88671875" style="585" customWidth="1"/>
    <col min="9" max="9" width="15.88671875" style="585" customWidth="1"/>
    <col min="10" max="10" width="2.88671875" style="585" customWidth="1"/>
    <col min="11" max="11" width="3.88671875" style="585" customWidth="1"/>
    <col min="12" max="26" width="9.33203125" style="585" customWidth="1"/>
    <col min="27" max="240" width="8.6640625" style="585"/>
    <col min="241" max="241" width="4.33203125" style="585" customWidth="1"/>
    <col min="242" max="242" width="2.88671875" style="585" customWidth="1"/>
    <col min="243" max="243" width="38.5546875" style="585" customWidth="1"/>
    <col min="244" max="244" width="7.88671875" style="585" customWidth="1"/>
    <col min="245" max="245" width="10.6640625" style="585" customWidth="1"/>
    <col min="246" max="246" width="4.33203125" style="585" customWidth="1"/>
    <col min="247" max="247" width="10.6640625" style="585" customWidth="1"/>
    <col min="248" max="248" width="4.33203125" style="585" customWidth="1"/>
    <col min="249" max="249" width="15.88671875" style="585" customWidth="1"/>
    <col min="250" max="250" width="2.88671875" style="585" customWidth="1"/>
    <col min="251" max="251" width="4.33203125" style="585" customWidth="1"/>
    <col min="252" max="252" width="7.88671875" style="585" customWidth="1"/>
    <col min="253" max="253" width="3.33203125" style="585" customWidth="1"/>
    <col min="254" max="254" width="2.44140625" style="585" customWidth="1"/>
    <col min="255" max="282" width="9.33203125" style="585" customWidth="1"/>
    <col min="283" max="496" width="8.6640625" style="585"/>
    <col min="497" max="497" width="4.33203125" style="585" customWidth="1"/>
    <col min="498" max="498" width="2.88671875" style="585" customWidth="1"/>
    <col min="499" max="499" width="38.5546875" style="585" customWidth="1"/>
    <col min="500" max="500" width="7.88671875" style="585" customWidth="1"/>
    <col min="501" max="501" width="10.6640625" style="585" customWidth="1"/>
    <col min="502" max="502" width="4.33203125" style="585" customWidth="1"/>
    <col min="503" max="503" width="10.6640625" style="585" customWidth="1"/>
    <col min="504" max="504" width="4.33203125" style="585" customWidth="1"/>
    <col min="505" max="505" width="15.88671875" style="585" customWidth="1"/>
    <col min="506" max="506" width="2.88671875" style="585" customWidth="1"/>
    <col min="507" max="507" width="4.33203125" style="585" customWidth="1"/>
    <col min="508" max="508" width="7.88671875" style="585" customWidth="1"/>
    <col min="509" max="509" width="3.33203125" style="585" customWidth="1"/>
    <col min="510" max="510" width="2.44140625" style="585" customWidth="1"/>
    <col min="511" max="538" width="9.33203125" style="585" customWidth="1"/>
    <col min="539" max="752" width="8.6640625" style="585"/>
    <col min="753" max="753" width="4.33203125" style="585" customWidth="1"/>
    <col min="754" max="754" width="2.88671875" style="585" customWidth="1"/>
    <col min="755" max="755" width="38.5546875" style="585" customWidth="1"/>
    <col min="756" max="756" width="7.88671875" style="585" customWidth="1"/>
    <col min="757" max="757" width="10.6640625" style="585" customWidth="1"/>
    <col min="758" max="758" width="4.33203125" style="585" customWidth="1"/>
    <col min="759" max="759" width="10.6640625" style="585" customWidth="1"/>
    <col min="760" max="760" width="4.33203125" style="585" customWidth="1"/>
    <col min="761" max="761" width="15.88671875" style="585" customWidth="1"/>
    <col min="762" max="762" width="2.88671875" style="585" customWidth="1"/>
    <col min="763" max="763" width="4.33203125" style="585" customWidth="1"/>
    <col min="764" max="764" width="7.88671875" style="585" customWidth="1"/>
    <col min="765" max="765" width="3.33203125" style="585" customWidth="1"/>
    <col min="766" max="766" width="2.44140625" style="585" customWidth="1"/>
    <col min="767" max="794" width="9.33203125" style="585" customWidth="1"/>
    <col min="795" max="1008" width="8.6640625" style="585"/>
    <col min="1009" max="1009" width="4.33203125" style="585" customWidth="1"/>
    <col min="1010" max="1010" width="2.88671875" style="585" customWidth="1"/>
    <col min="1011" max="1011" width="38.5546875" style="585" customWidth="1"/>
    <col min="1012" max="1012" width="7.88671875" style="585" customWidth="1"/>
    <col min="1013" max="1013" width="10.6640625" style="585" customWidth="1"/>
    <col min="1014" max="1014" width="4.33203125" style="585" customWidth="1"/>
    <col min="1015" max="1015" width="10.6640625" style="585" customWidth="1"/>
    <col min="1016" max="1016" width="4.33203125" style="585" customWidth="1"/>
    <col min="1017" max="1017" width="15.88671875" style="585" customWidth="1"/>
    <col min="1018" max="1018" width="2.88671875" style="585" customWidth="1"/>
    <col min="1019" max="1019" width="4.33203125" style="585" customWidth="1"/>
    <col min="1020" max="1020" width="7.88671875" style="585" customWidth="1"/>
    <col min="1021" max="1021" width="3.33203125" style="585" customWidth="1"/>
    <col min="1022" max="1022" width="2.44140625" style="585" customWidth="1"/>
    <col min="1023" max="1050" width="9.33203125" style="585" customWidth="1"/>
    <col min="1051" max="1264" width="8.6640625" style="585"/>
    <col min="1265" max="1265" width="4.33203125" style="585" customWidth="1"/>
    <col min="1266" max="1266" width="2.88671875" style="585" customWidth="1"/>
    <col min="1267" max="1267" width="38.5546875" style="585" customWidth="1"/>
    <col min="1268" max="1268" width="7.88671875" style="585" customWidth="1"/>
    <col min="1269" max="1269" width="10.6640625" style="585" customWidth="1"/>
    <col min="1270" max="1270" width="4.33203125" style="585" customWidth="1"/>
    <col min="1271" max="1271" width="10.6640625" style="585" customWidth="1"/>
    <col min="1272" max="1272" width="4.33203125" style="585" customWidth="1"/>
    <col min="1273" max="1273" width="15.88671875" style="585" customWidth="1"/>
    <col min="1274" max="1274" width="2.88671875" style="585" customWidth="1"/>
    <col min="1275" max="1275" width="4.33203125" style="585" customWidth="1"/>
    <col min="1276" max="1276" width="7.88671875" style="585" customWidth="1"/>
    <col min="1277" max="1277" width="3.33203125" style="585" customWidth="1"/>
    <col min="1278" max="1278" width="2.44140625" style="585" customWidth="1"/>
    <col min="1279" max="1306" width="9.33203125" style="585" customWidth="1"/>
    <col min="1307" max="1520" width="8.6640625" style="585"/>
    <col min="1521" max="1521" width="4.33203125" style="585" customWidth="1"/>
    <col min="1522" max="1522" width="2.88671875" style="585" customWidth="1"/>
    <col min="1523" max="1523" width="38.5546875" style="585" customWidth="1"/>
    <col min="1524" max="1524" width="7.88671875" style="585" customWidth="1"/>
    <col min="1525" max="1525" width="10.6640625" style="585" customWidth="1"/>
    <col min="1526" max="1526" width="4.33203125" style="585" customWidth="1"/>
    <col min="1527" max="1527" width="10.6640625" style="585" customWidth="1"/>
    <col min="1528" max="1528" width="4.33203125" style="585" customWidth="1"/>
    <col min="1529" max="1529" width="15.88671875" style="585" customWidth="1"/>
    <col min="1530" max="1530" width="2.88671875" style="585" customWidth="1"/>
    <col min="1531" max="1531" width="4.33203125" style="585" customWidth="1"/>
    <col min="1532" max="1532" width="7.88671875" style="585" customWidth="1"/>
    <col min="1533" max="1533" width="3.33203125" style="585" customWidth="1"/>
    <col min="1534" max="1534" width="2.44140625" style="585" customWidth="1"/>
    <col min="1535" max="1562" width="9.33203125" style="585" customWidth="1"/>
    <col min="1563" max="1776" width="8.6640625" style="585"/>
    <col min="1777" max="1777" width="4.33203125" style="585" customWidth="1"/>
    <col min="1778" max="1778" width="2.88671875" style="585" customWidth="1"/>
    <col min="1779" max="1779" width="38.5546875" style="585" customWidth="1"/>
    <col min="1780" max="1780" width="7.88671875" style="585" customWidth="1"/>
    <col min="1781" max="1781" width="10.6640625" style="585" customWidth="1"/>
    <col min="1782" max="1782" width="4.33203125" style="585" customWidth="1"/>
    <col min="1783" max="1783" width="10.6640625" style="585" customWidth="1"/>
    <col min="1784" max="1784" width="4.33203125" style="585" customWidth="1"/>
    <col min="1785" max="1785" width="15.88671875" style="585" customWidth="1"/>
    <col min="1786" max="1786" width="2.88671875" style="585" customWidth="1"/>
    <col min="1787" max="1787" width="4.33203125" style="585" customWidth="1"/>
    <col min="1788" max="1788" width="7.88671875" style="585" customWidth="1"/>
    <col min="1789" max="1789" width="3.33203125" style="585" customWidth="1"/>
    <col min="1790" max="1790" width="2.44140625" style="585" customWidth="1"/>
    <col min="1791" max="1818" width="9.33203125" style="585" customWidth="1"/>
    <col min="1819" max="2032" width="8.6640625" style="585"/>
    <col min="2033" max="2033" width="4.33203125" style="585" customWidth="1"/>
    <col min="2034" max="2034" width="2.88671875" style="585" customWidth="1"/>
    <col min="2035" max="2035" width="38.5546875" style="585" customWidth="1"/>
    <col min="2036" max="2036" width="7.88671875" style="585" customWidth="1"/>
    <col min="2037" max="2037" width="10.6640625" style="585" customWidth="1"/>
    <col min="2038" max="2038" width="4.33203125" style="585" customWidth="1"/>
    <col min="2039" max="2039" width="10.6640625" style="585" customWidth="1"/>
    <col min="2040" max="2040" width="4.33203125" style="585" customWidth="1"/>
    <col min="2041" max="2041" width="15.88671875" style="585" customWidth="1"/>
    <col min="2042" max="2042" width="2.88671875" style="585" customWidth="1"/>
    <col min="2043" max="2043" width="4.33203125" style="585" customWidth="1"/>
    <col min="2044" max="2044" width="7.88671875" style="585" customWidth="1"/>
    <col min="2045" max="2045" width="3.33203125" style="585" customWidth="1"/>
    <col min="2046" max="2046" width="2.44140625" style="585" customWidth="1"/>
    <col min="2047" max="2074" width="9.33203125" style="585" customWidth="1"/>
    <col min="2075" max="2288" width="8.6640625" style="585"/>
    <col min="2289" max="2289" width="4.33203125" style="585" customWidth="1"/>
    <col min="2290" max="2290" width="2.88671875" style="585" customWidth="1"/>
    <col min="2291" max="2291" width="38.5546875" style="585" customWidth="1"/>
    <col min="2292" max="2292" width="7.88671875" style="585" customWidth="1"/>
    <col min="2293" max="2293" width="10.6640625" style="585" customWidth="1"/>
    <col min="2294" max="2294" width="4.33203125" style="585" customWidth="1"/>
    <col min="2295" max="2295" width="10.6640625" style="585" customWidth="1"/>
    <col min="2296" max="2296" width="4.33203125" style="585" customWidth="1"/>
    <col min="2297" max="2297" width="15.88671875" style="585" customWidth="1"/>
    <col min="2298" max="2298" width="2.88671875" style="585" customWidth="1"/>
    <col min="2299" max="2299" width="4.33203125" style="585" customWidth="1"/>
    <col min="2300" max="2300" width="7.88671875" style="585" customWidth="1"/>
    <col min="2301" max="2301" width="3.33203125" style="585" customWidth="1"/>
    <col min="2302" max="2302" width="2.44140625" style="585" customWidth="1"/>
    <col min="2303" max="2330" width="9.33203125" style="585" customWidth="1"/>
    <col min="2331" max="2544" width="8.6640625" style="585"/>
    <col min="2545" max="2545" width="4.33203125" style="585" customWidth="1"/>
    <col min="2546" max="2546" width="2.88671875" style="585" customWidth="1"/>
    <col min="2547" max="2547" width="38.5546875" style="585" customWidth="1"/>
    <col min="2548" max="2548" width="7.88671875" style="585" customWidth="1"/>
    <col min="2549" max="2549" width="10.6640625" style="585" customWidth="1"/>
    <col min="2550" max="2550" width="4.33203125" style="585" customWidth="1"/>
    <col min="2551" max="2551" width="10.6640625" style="585" customWidth="1"/>
    <col min="2552" max="2552" width="4.33203125" style="585" customWidth="1"/>
    <col min="2553" max="2553" width="15.88671875" style="585" customWidth="1"/>
    <col min="2554" max="2554" width="2.88671875" style="585" customWidth="1"/>
    <col min="2555" max="2555" width="4.33203125" style="585" customWidth="1"/>
    <col min="2556" max="2556" width="7.88671875" style="585" customWidth="1"/>
    <col min="2557" max="2557" width="3.33203125" style="585" customWidth="1"/>
    <col min="2558" max="2558" width="2.44140625" style="585" customWidth="1"/>
    <col min="2559" max="2586" width="9.33203125" style="585" customWidth="1"/>
    <col min="2587" max="2800" width="8.6640625" style="585"/>
    <col min="2801" max="2801" width="4.33203125" style="585" customWidth="1"/>
    <col min="2802" max="2802" width="2.88671875" style="585" customWidth="1"/>
    <col min="2803" max="2803" width="38.5546875" style="585" customWidth="1"/>
    <col min="2804" max="2804" width="7.88671875" style="585" customWidth="1"/>
    <col min="2805" max="2805" width="10.6640625" style="585" customWidth="1"/>
    <col min="2806" max="2806" width="4.33203125" style="585" customWidth="1"/>
    <col min="2807" max="2807" width="10.6640625" style="585" customWidth="1"/>
    <col min="2808" max="2808" width="4.33203125" style="585" customWidth="1"/>
    <col min="2809" max="2809" width="15.88671875" style="585" customWidth="1"/>
    <col min="2810" max="2810" width="2.88671875" style="585" customWidth="1"/>
    <col min="2811" max="2811" width="4.33203125" style="585" customWidth="1"/>
    <col min="2812" max="2812" width="7.88671875" style="585" customWidth="1"/>
    <col min="2813" max="2813" width="3.33203125" style="585" customWidth="1"/>
    <col min="2814" max="2814" width="2.44140625" style="585" customWidth="1"/>
    <col min="2815" max="2842" width="9.33203125" style="585" customWidth="1"/>
    <col min="2843" max="3056" width="8.6640625" style="585"/>
    <col min="3057" max="3057" width="4.33203125" style="585" customWidth="1"/>
    <col min="3058" max="3058" width="2.88671875" style="585" customWidth="1"/>
    <col min="3059" max="3059" width="38.5546875" style="585" customWidth="1"/>
    <col min="3060" max="3060" width="7.88671875" style="585" customWidth="1"/>
    <col min="3061" max="3061" width="10.6640625" style="585" customWidth="1"/>
    <col min="3062" max="3062" width="4.33203125" style="585" customWidth="1"/>
    <col min="3063" max="3063" width="10.6640625" style="585" customWidth="1"/>
    <col min="3064" max="3064" width="4.33203125" style="585" customWidth="1"/>
    <col min="3065" max="3065" width="15.88671875" style="585" customWidth="1"/>
    <col min="3066" max="3066" width="2.88671875" style="585" customWidth="1"/>
    <col min="3067" max="3067" width="4.33203125" style="585" customWidth="1"/>
    <col min="3068" max="3068" width="7.88671875" style="585" customWidth="1"/>
    <col min="3069" max="3069" width="3.33203125" style="585" customWidth="1"/>
    <col min="3070" max="3070" width="2.44140625" style="585" customWidth="1"/>
    <col min="3071" max="3098" width="9.33203125" style="585" customWidth="1"/>
    <col min="3099" max="3312" width="8.6640625" style="585"/>
    <col min="3313" max="3313" width="4.33203125" style="585" customWidth="1"/>
    <col min="3314" max="3314" width="2.88671875" style="585" customWidth="1"/>
    <col min="3315" max="3315" width="38.5546875" style="585" customWidth="1"/>
    <col min="3316" max="3316" width="7.88671875" style="585" customWidth="1"/>
    <col min="3317" max="3317" width="10.6640625" style="585" customWidth="1"/>
    <col min="3318" max="3318" width="4.33203125" style="585" customWidth="1"/>
    <col min="3319" max="3319" width="10.6640625" style="585" customWidth="1"/>
    <col min="3320" max="3320" width="4.33203125" style="585" customWidth="1"/>
    <col min="3321" max="3321" width="15.88671875" style="585" customWidth="1"/>
    <col min="3322" max="3322" width="2.88671875" style="585" customWidth="1"/>
    <col min="3323" max="3323" width="4.33203125" style="585" customWidth="1"/>
    <col min="3324" max="3324" width="7.88671875" style="585" customWidth="1"/>
    <col min="3325" max="3325" width="3.33203125" style="585" customWidth="1"/>
    <col min="3326" max="3326" width="2.44140625" style="585" customWidth="1"/>
    <col min="3327" max="3354" width="9.33203125" style="585" customWidth="1"/>
    <col min="3355" max="3568" width="8.6640625" style="585"/>
    <col min="3569" max="3569" width="4.33203125" style="585" customWidth="1"/>
    <col min="3570" max="3570" width="2.88671875" style="585" customWidth="1"/>
    <col min="3571" max="3571" width="38.5546875" style="585" customWidth="1"/>
    <col min="3572" max="3572" width="7.88671875" style="585" customWidth="1"/>
    <col min="3573" max="3573" width="10.6640625" style="585" customWidth="1"/>
    <col min="3574" max="3574" width="4.33203125" style="585" customWidth="1"/>
    <col min="3575" max="3575" width="10.6640625" style="585" customWidth="1"/>
    <col min="3576" max="3576" width="4.33203125" style="585" customWidth="1"/>
    <col min="3577" max="3577" width="15.88671875" style="585" customWidth="1"/>
    <col min="3578" max="3578" width="2.88671875" style="585" customWidth="1"/>
    <col min="3579" max="3579" width="4.33203125" style="585" customWidth="1"/>
    <col min="3580" max="3580" width="7.88671875" style="585" customWidth="1"/>
    <col min="3581" max="3581" width="3.33203125" style="585" customWidth="1"/>
    <col min="3582" max="3582" width="2.44140625" style="585" customWidth="1"/>
    <col min="3583" max="3610" width="9.33203125" style="585" customWidth="1"/>
    <col min="3611" max="3824" width="8.6640625" style="585"/>
    <col min="3825" max="3825" width="4.33203125" style="585" customWidth="1"/>
    <col min="3826" max="3826" width="2.88671875" style="585" customWidth="1"/>
    <col min="3827" max="3827" width="38.5546875" style="585" customWidth="1"/>
    <col min="3828" max="3828" width="7.88671875" style="585" customWidth="1"/>
    <col min="3829" max="3829" width="10.6640625" style="585" customWidth="1"/>
    <col min="3830" max="3830" width="4.33203125" style="585" customWidth="1"/>
    <col min="3831" max="3831" width="10.6640625" style="585" customWidth="1"/>
    <col min="3832" max="3832" width="4.33203125" style="585" customWidth="1"/>
    <col min="3833" max="3833" width="15.88671875" style="585" customWidth="1"/>
    <col min="3834" max="3834" width="2.88671875" style="585" customWidth="1"/>
    <col min="3835" max="3835" width="4.33203125" style="585" customWidth="1"/>
    <col min="3836" max="3836" width="7.88671875" style="585" customWidth="1"/>
    <col min="3837" max="3837" width="3.33203125" style="585" customWidth="1"/>
    <col min="3838" max="3838" width="2.44140625" style="585" customWidth="1"/>
    <col min="3839" max="3866" width="9.33203125" style="585" customWidth="1"/>
    <col min="3867" max="4080" width="8.6640625" style="585"/>
    <col min="4081" max="4081" width="4.33203125" style="585" customWidth="1"/>
    <col min="4082" max="4082" width="2.88671875" style="585" customWidth="1"/>
    <col min="4083" max="4083" width="38.5546875" style="585" customWidth="1"/>
    <col min="4084" max="4084" width="7.88671875" style="585" customWidth="1"/>
    <col min="4085" max="4085" width="10.6640625" style="585" customWidth="1"/>
    <col min="4086" max="4086" width="4.33203125" style="585" customWidth="1"/>
    <col min="4087" max="4087" width="10.6640625" style="585" customWidth="1"/>
    <col min="4088" max="4088" width="4.33203125" style="585" customWidth="1"/>
    <col min="4089" max="4089" width="15.88671875" style="585" customWidth="1"/>
    <col min="4090" max="4090" width="2.88671875" style="585" customWidth="1"/>
    <col min="4091" max="4091" width="4.33203125" style="585" customWidth="1"/>
    <col min="4092" max="4092" width="7.88671875" style="585" customWidth="1"/>
    <col min="4093" max="4093" width="3.33203125" style="585" customWidth="1"/>
    <col min="4094" max="4094" width="2.44140625" style="585" customWidth="1"/>
    <col min="4095" max="4122" width="9.33203125" style="585" customWidth="1"/>
    <col min="4123" max="4336" width="8.6640625" style="585"/>
    <col min="4337" max="4337" width="4.33203125" style="585" customWidth="1"/>
    <col min="4338" max="4338" width="2.88671875" style="585" customWidth="1"/>
    <col min="4339" max="4339" width="38.5546875" style="585" customWidth="1"/>
    <col min="4340" max="4340" width="7.88671875" style="585" customWidth="1"/>
    <col min="4341" max="4341" width="10.6640625" style="585" customWidth="1"/>
    <col min="4342" max="4342" width="4.33203125" style="585" customWidth="1"/>
    <col min="4343" max="4343" width="10.6640625" style="585" customWidth="1"/>
    <col min="4344" max="4344" width="4.33203125" style="585" customWidth="1"/>
    <col min="4345" max="4345" width="15.88671875" style="585" customWidth="1"/>
    <col min="4346" max="4346" width="2.88671875" style="585" customWidth="1"/>
    <col min="4347" max="4347" width="4.33203125" style="585" customWidth="1"/>
    <col min="4348" max="4348" width="7.88671875" style="585" customWidth="1"/>
    <col min="4349" max="4349" width="3.33203125" style="585" customWidth="1"/>
    <col min="4350" max="4350" width="2.44140625" style="585" customWidth="1"/>
    <col min="4351" max="4378" width="9.33203125" style="585" customWidth="1"/>
    <col min="4379" max="4592" width="8.6640625" style="585"/>
    <col min="4593" max="4593" width="4.33203125" style="585" customWidth="1"/>
    <col min="4594" max="4594" width="2.88671875" style="585" customWidth="1"/>
    <col min="4595" max="4595" width="38.5546875" style="585" customWidth="1"/>
    <col min="4596" max="4596" width="7.88671875" style="585" customWidth="1"/>
    <col min="4597" max="4597" width="10.6640625" style="585" customWidth="1"/>
    <col min="4598" max="4598" width="4.33203125" style="585" customWidth="1"/>
    <col min="4599" max="4599" width="10.6640625" style="585" customWidth="1"/>
    <col min="4600" max="4600" width="4.33203125" style="585" customWidth="1"/>
    <col min="4601" max="4601" width="15.88671875" style="585" customWidth="1"/>
    <col min="4602" max="4602" width="2.88671875" style="585" customWidth="1"/>
    <col min="4603" max="4603" width="4.33203125" style="585" customWidth="1"/>
    <col min="4604" max="4604" width="7.88671875" style="585" customWidth="1"/>
    <col min="4605" max="4605" width="3.33203125" style="585" customWidth="1"/>
    <col min="4606" max="4606" width="2.44140625" style="585" customWidth="1"/>
    <col min="4607" max="4634" width="9.33203125" style="585" customWidth="1"/>
    <col min="4635" max="4848" width="8.6640625" style="585"/>
    <col min="4849" max="4849" width="4.33203125" style="585" customWidth="1"/>
    <col min="4850" max="4850" width="2.88671875" style="585" customWidth="1"/>
    <col min="4851" max="4851" width="38.5546875" style="585" customWidth="1"/>
    <col min="4852" max="4852" width="7.88671875" style="585" customWidth="1"/>
    <col min="4853" max="4853" width="10.6640625" style="585" customWidth="1"/>
    <col min="4854" max="4854" width="4.33203125" style="585" customWidth="1"/>
    <col min="4855" max="4855" width="10.6640625" style="585" customWidth="1"/>
    <col min="4856" max="4856" width="4.33203125" style="585" customWidth="1"/>
    <col min="4857" max="4857" width="15.88671875" style="585" customWidth="1"/>
    <col min="4858" max="4858" width="2.88671875" style="585" customWidth="1"/>
    <col min="4859" max="4859" width="4.33203125" style="585" customWidth="1"/>
    <col min="4860" max="4860" width="7.88671875" style="585" customWidth="1"/>
    <col min="4861" max="4861" width="3.33203125" style="585" customWidth="1"/>
    <col min="4862" max="4862" width="2.44140625" style="585" customWidth="1"/>
    <col min="4863" max="4890" width="9.33203125" style="585" customWidth="1"/>
    <col min="4891" max="5104" width="8.6640625" style="585"/>
    <col min="5105" max="5105" width="4.33203125" style="585" customWidth="1"/>
    <col min="5106" max="5106" width="2.88671875" style="585" customWidth="1"/>
    <col min="5107" max="5107" width="38.5546875" style="585" customWidth="1"/>
    <col min="5108" max="5108" width="7.88671875" style="585" customWidth="1"/>
    <col min="5109" max="5109" width="10.6640625" style="585" customWidth="1"/>
    <col min="5110" max="5110" width="4.33203125" style="585" customWidth="1"/>
    <col min="5111" max="5111" width="10.6640625" style="585" customWidth="1"/>
    <col min="5112" max="5112" width="4.33203125" style="585" customWidth="1"/>
    <col min="5113" max="5113" width="15.88671875" style="585" customWidth="1"/>
    <col min="5114" max="5114" width="2.88671875" style="585" customWidth="1"/>
    <col min="5115" max="5115" width="4.33203125" style="585" customWidth="1"/>
    <col min="5116" max="5116" width="7.88671875" style="585" customWidth="1"/>
    <col min="5117" max="5117" width="3.33203125" style="585" customWidth="1"/>
    <col min="5118" max="5118" width="2.44140625" style="585" customWidth="1"/>
    <col min="5119" max="5146" width="9.33203125" style="585" customWidth="1"/>
    <col min="5147" max="5360" width="8.6640625" style="585"/>
    <col min="5361" max="5361" width="4.33203125" style="585" customWidth="1"/>
    <col min="5362" max="5362" width="2.88671875" style="585" customWidth="1"/>
    <col min="5363" max="5363" width="38.5546875" style="585" customWidth="1"/>
    <col min="5364" max="5364" width="7.88671875" style="585" customWidth="1"/>
    <col min="5365" max="5365" width="10.6640625" style="585" customWidth="1"/>
    <col min="5366" max="5366" width="4.33203125" style="585" customWidth="1"/>
    <col min="5367" max="5367" width="10.6640625" style="585" customWidth="1"/>
    <col min="5368" max="5368" width="4.33203125" style="585" customWidth="1"/>
    <col min="5369" max="5369" width="15.88671875" style="585" customWidth="1"/>
    <col min="5370" max="5370" width="2.88671875" style="585" customWidth="1"/>
    <col min="5371" max="5371" width="4.33203125" style="585" customWidth="1"/>
    <col min="5372" max="5372" width="7.88671875" style="585" customWidth="1"/>
    <col min="5373" max="5373" width="3.33203125" style="585" customWidth="1"/>
    <col min="5374" max="5374" width="2.44140625" style="585" customWidth="1"/>
    <col min="5375" max="5402" width="9.33203125" style="585" customWidth="1"/>
    <col min="5403" max="5616" width="8.6640625" style="585"/>
    <col min="5617" max="5617" width="4.33203125" style="585" customWidth="1"/>
    <col min="5618" max="5618" width="2.88671875" style="585" customWidth="1"/>
    <col min="5619" max="5619" width="38.5546875" style="585" customWidth="1"/>
    <col min="5620" max="5620" width="7.88671875" style="585" customWidth="1"/>
    <col min="5621" max="5621" width="10.6640625" style="585" customWidth="1"/>
    <col min="5622" max="5622" width="4.33203125" style="585" customWidth="1"/>
    <col min="5623" max="5623" width="10.6640625" style="585" customWidth="1"/>
    <col min="5624" max="5624" width="4.33203125" style="585" customWidth="1"/>
    <col min="5625" max="5625" width="15.88671875" style="585" customWidth="1"/>
    <col min="5626" max="5626" width="2.88671875" style="585" customWidth="1"/>
    <col min="5627" max="5627" width="4.33203125" style="585" customWidth="1"/>
    <col min="5628" max="5628" width="7.88671875" style="585" customWidth="1"/>
    <col min="5629" max="5629" width="3.33203125" style="585" customWidth="1"/>
    <col min="5630" max="5630" width="2.44140625" style="585" customWidth="1"/>
    <col min="5631" max="5658" width="9.33203125" style="585" customWidth="1"/>
    <col min="5659" max="5872" width="8.6640625" style="585"/>
    <col min="5873" max="5873" width="4.33203125" style="585" customWidth="1"/>
    <col min="5874" max="5874" width="2.88671875" style="585" customWidth="1"/>
    <col min="5875" max="5875" width="38.5546875" style="585" customWidth="1"/>
    <col min="5876" max="5876" width="7.88671875" style="585" customWidth="1"/>
    <col min="5877" max="5877" width="10.6640625" style="585" customWidth="1"/>
    <col min="5878" max="5878" width="4.33203125" style="585" customWidth="1"/>
    <col min="5879" max="5879" width="10.6640625" style="585" customWidth="1"/>
    <col min="5880" max="5880" width="4.33203125" style="585" customWidth="1"/>
    <col min="5881" max="5881" width="15.88671875" style="585" customWidth="1"/>
    <col min="5882" max="5882" width="2.88671875" style="585" customWidth="1"/>
    <col min="5883" max="5883" width="4.33203125" style="585" customWidth="1"/>
    <col min="5884" max="5884" width="7.88671875" style="585" customWidth="1"/>
    <col min="5885" max="5885" width="3.33203125" style="585" customWidth="1"/>
    <col min="5886" max="5886" width="2.44140625" style="585" customWidth="1"/>
    <col min="5887" max="5914" width="9.33203125" style="585" customWidth="1"/>
    <col min="5915" max="6128" width="8.6640625" style="585"/>
    <col min="6129" max="6129" width="4.33203125" style="585" customWidth="1"/>
    <col min="6130" max="6130" width="2.88671875" style="585" customWidth="1"/>
    <col min="6131" max="6131" width="38.5546875" style="585" customWidth="1"/>
    <col min="6132" max="6132" width="7.88671875" style="585" customWidth="1"/>
    <col min="6133" max="6133" width="10.6640625" style="585" customWidth="1"/>
    <col min="6134" max="6134" width="4.33203125" style="585" customWidth="1"/>
    <col min="6135" max="6135" width="10.6640625" style="585" customWidth="1"/>
    <col min="6136" max="6136" width="4.33203125" style="585" customWidth="1"/>
    <col min="6137" max="6137" width="15.88671875" style="585" customWidth="1"/>
    <col min="6138" max="6138" width="2.88671875" style="585" customWidth="1"/>
    <col min="6139" max="6139" width="4.33203125" style="585" customWidth="1"/>
    <col min="6140" max="6140" width="7.88671875" style="585" customWidth="1"/>
    <col min="6141" max="6141" width="3.33203125" style="585" customWidth="1"/>
    <col min="6142" max="6142" width="2.44140625" style="585" customWidth="1"/>
    <col min="6143" max="6170" width="9.33203125" style="585" customWidth="1"/>
    <col min="6171" max="6384" width="8.6640625" style="585"/>
    <col min="6385" max="6385" width="4.33203125" style="585" customWidth="1"/>
    <col min="6386" max="6386" width="2.88671875" style="585" customWidth="1"/>
    <col min="6387" max="6387" width="38.5546875" style="585" customWidth="1"/>
    <col min="6388" max="6388" width="7.88671875" style="585" customWidth="1"/>
    <col min="6389" max="6389" width="10.6640625" style="585" customWidth="1"/>
    <col min="6390" max="6390" width="4.33203125" style="585" customWidth="1"/>
    <col min="6391" max="6391" width="10.6640625" style="585" customWidth="1"/>
    <col min="6392" max="6392" width="4.33203125" style="585" customWidth="1"/>
    <col min="6393" max="6393" width="15.88671875" style="585" customWidth="1"/>
    <col min="6394" max="6394" width="2.88671875" style="585" customWidth="1"/>
    <col min="6395" max="6395" width="4.33203125" style="585" customWidth="1"/>
    <col min="6396" max="6396" width="7.88671875" style="585" customWidth="1"/>
    <col min="6397" max="6397" width="3.33203125" style="585" customWidth="1"/>
    <col min="6398" max="6398" width="2.44140625" style="585" customWidth="1"/>
    <col min="6399" max="6426" width="9.33203125" style="585" customWidth="1"/>
    <col min="6427" max="6640" width="8.6640625" style="585"/>
    <col min="6641" max="6641" width="4.33203125" style="585" customWidth="1"/>
    <col min="6642" max="6642" width="2.88671875" style="585" customWidth="1"/>
    <col min="6643" max="6643" width="38.5546875" style="585" customWidth="1"/>
    <col min="6644" max="6644" width="7.88671875" style="585" customWidth="1"/>
    <col min="6645" max="6645" width="10.6640625" style="585" customWidth="1"/>
    <col min="6646" max="6646" width="4.33203125" style="585" customWidth="1"/>
    <col min="6647" max="6647" width="10.6640625" style="585" customWidth="1"/>
    <col min="6648" max="6648" width="4.33203125" style="585" customWidth="1"/>
    <col min="6649" max="6649" width="15.88671875" style="585" customWidth="1"/>
    <col min="6650" max="6650" width="2.88671875" style="585" customWidth="1"/>
    <col min="6651" max="6651" width="4.33203125" style="585" customWidth="1"/>
    <col min="6652" max="6652" width="7.88671875" style="585" customWidth="1"/>
    <col min="6653" max="6653" width="3.33203125" style="585" customWidth="1"/>
    <col min="6654" max="6654" width="2.44140625" style="585" customWidth="1"/>
    <col min="6655" max="6682" width="9.33203125" style="585" customWidth="1"/>
    <col min="6683" max="6896" width="8.6640625" style="585"/>
    <col min="6897" max="6897" width="4.33203125" style="585" customWidth="1"/>
    <col min="6898" max="6898" width="2.88671875" style="585" customWidth="1"/>
    <col min="6899" max="6899" width="38.5546875" style="585" customWidth="1"/>
    <col min="6900" max="6900" width="7.88671875" style="585" customWidth="1"/>
    <col min="6901" max="6901" width="10.6640625" style="585" customWidth="1"/>
    <col min="6902" max="6902" width="4.33203125" style="585" customWidth="1"/>
    <col min="6903" max="6903" width="10.6640625" style="585" customWidth="1"/>
    <col min="6904" max="6904" width="4.33203125" style="585" customWidth="1"/>
    <col min="6905" max="6905" width="15.88671875" style="585" customWidth="1"/>
    <col min="6906" max="6906" width="2.88671875" style="585" customWidth="1"/>
    <col min="6907" max="6907" width="4.33203125" style="585" customWidth="1"/>
    <col min="6908" max="6908" width="7.88671875" style="585" customWidth="1"/>
    <col min="6909" max="6909" width="3.33203125" style="585" customWidth="1"/>
    <col min="6910" max="6910" width="2.44140625" style="585" customWidth="1"/>
    <col min="6911" max="6938" width="9.33203125" style="585" customWidth="1"/>
    <col min="6939" max="7152" width="8.6640625" style="585"/>
    <col min="7153" max="7153" width="4.33203125" style="585" customWidth="1"/>
    <col min="7154" max="7154" width="2.88671875" style="585" customWidth="1"/>
    <col min="7155" max="7155" width="38.5546875" style="585" customWidth="1"/>
    <col min="7156" max="7156" width="7.88671875" style="585" customWidth="1"/>
    <col min="7157" max="7157" width="10.6640625" style="585" customWidth="1"/>
    <col min="7158" max="7158" width="4.33203125" style="585" customWidth="1"/>
    <col min="7159" max="7159" width="10.6640625" style="585" customWidth="1"/>
    <col min="7160" max="7160" width="4.33203125" style="585" customWidth="1"/>
    <col min="7161" max="7161" width="15.88671875" style="585" customWidth="1"/>
    <col min="7162" max="7162" width="2.88671875" style="585" customWidth="1"/>
    <col min="7163" max="7163" width="4.33203125" style="585" customWidth="1"/>
    <col min="7164" max="7164" width="7.88671875" style="585" customWidth="1"/>
    <col min="7165" max="7165" width="3.33203125" style="585" customWidth="1"/>
    <col min="7166" max="7166" width="2.44140625" style="585" customWidth="1"/>
    <col min="7167" max="7194" width="9.33203125" style="585" customWidth="1"/>
    <col min="7195" max="7408" width="8.6640625" style="585"/>
    <col min="7409" max="7409" width="4.33203125" style="585" customWidth="1"/>
    <col min="7410" max="7410" width="2.88671875" style="585" customWidth="1"/>
    <col min="7411" max="7411" width="38.5546875" style="585" customWidth="1"/>
    <col min="7412" max="7412" width="7.88671875" style="585" customWidth="1"/>
    <col min="7413" max="7413" width="10.6640625" style="585" customWidth="1"/>
    <col min="7414" max="7414" width="4.33203125" style="585" customWidth="1"/>
    <col min="7415" max="7415" width="10.6640625" style="585" customWidth="1"/>
    <col min="7416" max="7416" width="4.33203125" style="585" customWidth="1"/>
    <col min="7417" max="7417" width="15.88671875" style="585" customWidth="1"/>
    <col min="7418" max="7418" width="2.88671875" style="585" customWidth="1"/>
    <col min="7419" max="7419" width="4.33203125" style="585" customWidth="1"/>
    <col min="7420" max="7420" width="7.88671875" style="585" customWidth="1"/>
    <col min="7421" max="7421" width="3.33203125" style="585" customWidth="1"/>
    <col min="7422" max="7422" width="2.44140625" style="585" customWidth="1"/>
    <col min="7423" max="7450" width="9.33203125" style="585" customWidth="1"/>
    <col min="7451" max="7664" width="8.6640625" style="585"/>
    <col min="7665" max="7665" width="4.33203125" style="585" customWidth="1"/>
    <col min="7666" max="7666" width="2.88671875" style="585" customWidth="1"/>
    <col min="7667" max="7667" width="38.5546875" style="585" customWidth="1"/>
    <col min="7668" max="7668" width="7.88671875" style="585" customWidth="1"/>
    <col min="7669" max="7669" width="10.6640625" style="585" customWidth="1"/>
    <col min="7670" max="7670" width="4.33203125" style="585" customWidth="1"/>
    <col min="7671" max="7671" width="10.6640625" style="585" customWidth="1"/>
    <col min="7672" max="7672" width="4.33203125" style="585" customWidth="1"/>
    <col min="7673" max="7673" width="15.88671875" style="585" customWidth="1"/>
    <col min="7674" max="7674" width="2.88671875" style="585" customWidth="1"/>
    <col min="7675" max="7675" width="4.33203125" style="585" customWidth="1"/>
    <col min="7676" max="7676" width="7.88671875" style="585" customWidth="1"/>
    <col min="7677" max="7677" width="3.33203125" style="585" customWidth="1"/>
    <col min="7678" max="7678" width="2.44140625" style="585" customWidth="1"/>
    <col min="7679" max="7706" width="9.33203125" style="585" customWidth="1"/>
    <col min="7707" max="7920" width="8.6640625" style="585"/>
    <col min="7921" max="7921" width="4.33203125" style="585" customWidth="1"/>
    <col min="7922" max="7922" width="2.88671875" style="585" customWidth="1"/>
    <col min="7923" max="7923" width="38.5546875" style="585" customWidth="1"/>
    <col min="7924" max="7924" width="7.88671875" style="585" customWidth="1"/>
    <col min="7925" max="7925" width="10.6640625" style="585" customWidth="1"/>
    <col min="7926" max="7926" width="4.33203125" style="585" customWidth="1"/>
    <col min="7927" max="7927" width="10.6640625" style="585" customWidth="1"/>
    <col min="7928" max="7928" width="4.33203125" style="585" customWidth="1"/>
    <col min="7929" max="7929" width="15.88671875" style="585" customWidth="1"/>
    <col min="7930" max="7930" width="2.88671875" style="585" customWidth="1"/>
    <col min="7931" max="7931" width="4.33203125" style="585" customWidth="1"/>
    <col min="7932" max="7932" width="7.88671875" style="585" customWidth="1"/>
    <col min="7933" max="7933" width="3.33203125" style="585" customWidth="1"/>
    <col min="7934" max="7934" width="2.44140625" style="585" customWidth="1"/>
    <col min="7935" max="7962" width="9.33203125" style="585" customWidth="1"/>
    <col min="7963" max="8176" width="8.6640625" style="585"/>
    <col min="8177" max="8177" width="4.33203125" style="585" customWidth="1"/>
    <col min="8178" max="8178" width="2.88671875" style="585" customWidth="1"/>
    <col min="8179" max="8179" width="38.5546875" style="585" customWidth="1"/>
    <col min="8180" max="8180" width="7.88671875" style="585" customWidth="1"/>
    <col min="8181" max="8181" width="10.6640625" style="585" customWidth="1"/>
    <col min="8182" max="8182" width="4.33203125" style="585" customWidth="1"/>
    <col min="8183" max="8183" width="10.6640625" style="585" customWidth="1"/>
    <col min="8184" max="8184" width="4.33203125" style="585" customWidth="1"/>
    <col min="8185" max="8185" width="15.88671875" style="585" customWidth="1"/>
    <col min="8186" max="8186" width="2.88671875" style="585" customWidth="1"/>
    <col min="8187" max="8187" width="4.33203125" style="585" customWidth="1"/>
    <col min="8188" max="8188" width="7.88671875" style="585" customWidth="1"/>
    <col min="8189" max="8189" width="3.33203125" style="585" customWidth="1"/>
    <col min="8190" max="8190" width="2.44140625" style="585" customWidth="1"/>
    <col min="8191" max="8218" width="9.33203125" style="585" customWidth="1"/>
    <col min="8219" max="8432" width="8.6640625" style="585"/>
    <col min="8433" max="8433" width="4.33203125" style="585" customWidth="1"/>
    <col min="8434" max="8434" width="2.88671875" style="585" customWidth="1"/>
    <col min="8435" max="8435" width="38.5546875" style="585" customWidth="1"/>
    <col min="8436" max="8436" width="7.88671875" style="585" customWidth="1"/>
    <col min="8437" max="8437" width="10.6640625" style="585" customWidth="1"/>
    <col min="8438" max="8438" width="4.33203125" style="585" customWidth="1"/>
    <col min="8439" max="8439" width="10.6640625" style="585" customWidth="1"/>
    <col min="8440" max="8440" width="4.33203125" style="585" customWidth="1"/>
    <col min="8441" max="8441" width="15.88671875" style="585" customWidth="1"/>
    <col min="8442" max="8442" width="2.88671875" style="585" customWidth="1"/>
    <col min="8443" max="8443" width="4.33203125" style="585" customWidth="1"/>
    <col min="8444" max="8444" width="7.88671875" style="585" customWidth="1"/>
    <col min="8445" max="8445" width="3.33203125" style="585" customWidth="1"/>
    <col min="8446" max="8446" width="2.44140625" style="585" customWidth="1"/>
    <col min="8447" max="8474" width="9.33203125" style="585" customWidth="1"/>
    <col min="8475" max="8688" width="8.6640625" style="585"/>
    <col min="8689" max="8689" width="4.33203125" style="585" customWidth="1"/>
    <col min="8690" max="8690" width="2.88671875" style="585" customWidth="1"/>
    <col min="8691" max="8691" width="38.5546875" style="585" customWidth="1"/>
    <col min="8692" max="8692" width="7.88671875" style="585" customWidth="1"/>
    <col min="8693" max="8693" width="10.6640625" style="585" customWidth="1"/>
    <col min="8694" max="8694" width="4.33203125" style="585" customWidth="1"/>
    <col min="8695" max="8695" width="10.6640625" style="585" customWidth="1"/>
    <col min="8696" max="8696" width="4.33203125" style="585" customWidth="1"/>
    <col min="8697" max="8697" width="15.88671875" style="585" customWidth="1"/>
    <col min="8698" max="8698" width="2.88671875" style="585" customWidth="1"/>
    <col min="8699" max="8699" width="4.33203125" style="585" customWidth="1"/>
    <col min="8700" max="8700" width="7.88671875" style="585" customWidth="1"/>
    <col min="8701" max="8701" width="3.33203125" style="585" customWidth="1"/>
    <col min="8702" max="8702" width="2.44140625" style="585" customWidth="1"/>
    <col min="8703" max="8730" width="9.33203125" style="585" customWidth="1"/>
    <col min="8731" max="8944" width="8.6640625" style="585"/>
    <col min="8945" max="8945" width="4.33203125" style="585" customWidth="1"/>
    <col min="8946" max="8946" width="2.88671875" style="585" customWidth="1"/>
    <col min="8947" max="8947" width="38.5546875" style="585" customWidth="1"/>
    <col min="8948" max="8948" width="7.88671875" style="585" customWidth="1"/>
    <col min="8949" max="8949" width="10.6640625" style="585" customWidth="1"/>
    <col min="8950" max="8950" width="4.33203125" style="585" customWidth="1"/>
    <col min="8951" max="8951" width="10.6640625" style="585" customWidth="1"/>
    <col min="8952" max="8952" width="4.33203125" style="585" customWidth="1"/>
    <col min="8953" max="8953" width="15.88671875" style="585" customWidth="1"/>
    <col min="8954" max="8954" width="2.88671875" style="585" customWidth="1"/>
    <col min="8955" max="8955" width="4.33203125" style="585" customWidth="1"/>
    <col min="8956" max="8956" width="7.88671875" style="585" customWidth="1"/>
    <col min="8957" max="8957" width="3.33203125" style="585" customWidth="1"/>
    <col min="8958" max="8958" width="2.44140625" style="585" customWidth="1"/>
    <col min="8959" max="8986" width="9.33203125" style="585" customWidth="1"/>
    <col min="8987" max="9200" width="8.6640625" style="585"/>
    <col min="9201" max="9201" width="4.33203125" style="585" customWidth="1"/>
    <col min="9202" max="9202" width="2.88671875" style="585" customWidth="1"/>
    <col min="9203" max="9203" width="38.5546875" style="585" customWidth="1"/>
    <col min="9204" max="9204" width="7.88671875" style="585" customWidth="1"/>
    <col min="9205" max="9205" width="10.6640625" style="585" customWidth="1"/>
    <col min="9206" max="9206" width="4.33203125" style="585" customWidth="1"/>
    <col min="9207" max="9207" width="10.6640625" style="585" customWidth="1"/>
    <col min="9208" max="9208" width="4.33203125" style="585" customWidth="1"/>
    <col min="9209" max="9209" width="15.88671875" style="585" customWidth="1"/>
    <col min="9210" max="9210" width="2.88671875" style="585" customWidth="1"/>
    <col min="9211" max="9211" width="4.33203125" style="585" customWidth="1"/>
    <col min="9212" max="9212" width="7.88671875" style="585" customWidth="1"/>
    <col min="9213" max="9213" width="3.33203125" style="585" customWidth="1"/>
    <col min="9214" max="9214" width="2.44140625" style="585" customWidth="1"/>
    <col min="9215" max="9242" width="9.33203125" style="585" customWidth="1"/>
    <col min="9243" max="9456" width="8.6640625" style="585"/>
    <col min="9457" max="9457" width="4.33203125" style="585" customWidth="1"/>
    <col min="9458" max="9458" width="2.88671875" style="585" customWidth="1"/>
    <col min="9459" max="9459" width="38.5546875" style="585" customWidth="1"/>
    <col min="9460" max="9460" width="7.88671875" style="585" customWidth="1"/>
    <col min="9461" max="9461" width="10.6640625" style="585" customWidth="1"/>
    <col min="9462" max="9462" width="4.33203125" style="585" customWidth="1"/>
    <col min="9463" max="9463" width="10.6640625" style="585" customWidth="1"/>
    <col min="9464" max="9464" width="4.33203125" style="585" customWidth="1"/>
    <col min="9465" max="9465" width="15.88671875" style="585" customWidth="1"/>
    <col min="9466" max="9466" width="2.88671875" style="585" customWidth="1"/>
    <col min="9467" max="9467" width="4.33203125" style="585" customWidth="1"/>
    <col min="9468" max="9468" width="7.88671875" style="585" customWidth="1"/>
    <col min="9469" max="9469" width="3.33203125" style="585" customWidth="1"/>
    <col min="9470" max="9470" width="2.44140625" style="585" customWidth="1"/>
    <col min="9471" max="9498" width="9.33203125" style="585" customWidth="1"/>
    <col min="9499" max="9712" width="8.6640625" style="585"/>
    <col min="9713" max="9713" width="4.33203125" style="585" customWidth="1"/>
    <col min="9714" max="9714" width="2.88671875" style="585" customWidth="1"/>
    <col min="9715" max="9715" width="38.5546875" style="585" customWidth="1"/>
    <col min="9716" max="9716" width="7.88671875" style="585" customWidth="1"/>
    <col min="9717" max="9717" width="10.6640625" style="585" customWidth="1"/>
    <col min="9718" max="9718" width="4.33203125" style="585" customWidth="1"/>
    <col min="9719" max="9719" width="10.6640625" style="585" customWidth="1"/>
    <col min="9720" max="9720" width="4.33203125" style="585" customWidth="1"/>
    <col min="9721" max="9721" width="15.88671875" style="585" customWidth="1"/>
    <col min="9722" max="9722" width="2.88671875" style="585" customWidth="1"/>
    <col min="9723" max="9723" width="4.33203125" style="585" customWidth="1"/>
    <col min="9724" max="9724" width="7.88671875" style="585" customWidth="1"/>
    <col min="9725" max="9725" width="3.33203125" style="585" customWidth="1"/>
    <col min="9726" max="9726" width="2.44140625" style="585" customWidth="1"/>
    <col min="9727" max="9754" width="9.33203125" style="585" customWidth="1"/>
    <col min="9755" max="9968" width="8.6640625" style="585"/>
    <col min="9969" max="9969" width="4.33203125" style="585" customWidth="1"/>
    <col min="9970" max="9970" width="2.88671875" style="585" customWidth="1"/>
    <col min="9971" max="9971" width="38.5546875" style="585" customWidth="1"/>
    <col min="9972" max="9972" width="7.88671875" style="585" customWidth="1"/>
    <col min="9973" max="9973" width="10.6640625" style="585" customWidth="1"/>
    <col min="9974" max="9974" width="4.33203125" style="585" customWidth="1"/>
    <col min="9975" max="9975" width="10.6640625" style="585" customWidth="1"/>
    <col min="9976" max="9976" width="4.33203125" style="585" customWidth="1"/>
    <col min="9977" max="9977" width="15.88671875" style="585" customWidth="1"/>
    <col min="9978" max="9978" width="2.88671875" style="585" customWidth="1"/>
    <col min="9979" max="9979" width="4.33203125" style="585" customWidth="1"/>
    <col min="9980" max="9980" width="7.88671875" style="585" customWidth="1"/>
    <col min="9981" max="9981" width="3.33203125" style="585" customWidth="1"/>
    <col min="9982" max="9982" width="2.44140625" style="585" customWidth="1"/>
    <col min="9983" max="10010" width="9.33203125" style="585" customWidth="1"/>
    <col min="10011" max="10224" width="8.6640625" style="585"/>
    <col min="10225" max="10225" width="4.33203125" style="585" customWidth="1"/>
    <col min="10226" max="10226" width="2.88671875" style="585" customWidth="1"/>
    <col min="10227" max="10227" width="38.5546875" style="585" customWidth="1"/>
    <col min="10228" max="10228" width="7.88671875" style="585" customWidth="1"/>
    <col min="10229" max="10229" width="10.6640625" style="585" customWidth="1"/>
    <col min="10230" max="10230" width="4.33203125" style="585" customWidth="1"/>
    <col min="10231" max="10231" width="10.6640625" style="585" customWidth="1"/>
    <col min="10232" max="10232" width="4.33203125" style="585" customWidth="1"/>
    <col min="10233" max="10233" width="15.88671875" style="585" customWidth="1"/>
    <col min="10234" max="10234" width="2.88671875" style="585" customWidth="1"/>
    <col min="10235" max="10235" width="4.33203125" style="585" customWidth="1"/>
    <col min="10236" max="10236" width="7.88671875" style="585" customWidth="1"/>
    <col min="10237" max="10237" width="3.33203125" style="585" customWidth="1"/>
    <col min="10238" max="10238" width="2.44140625" style="585" customWidth="1"/>
    <col min="10239" max="10266" width="9.33203125" style="585" customWidth="1"/>
    <col min="10267" max="10480" width="8.6640625" style="585"/>
    <col min="10481" max="10481" width="4.33203125" style="585" customWidth="1"/>
    <col min="10482" max="10482" width="2.88671875" style="585" customWidth="1"/>
    <col min="10483" max="10483" width="38.5546875" style="585" customWidth="1"/>
    <col min="10484" max="10484" width="7.88671875" style="585" customWidth="1"/>
    <col min="10485" max="10485" width="10.6640625" style="585" customWidth="1"/>
    <col min="10486" max="10486" width="4.33203125" style="585" customWidth="1"/>
    <col min="10487" max="10487" width="10.6640625" style="585" customWidth="1"/>
    <col min="10488" max="10488" width="4.33203125" style="585" customWidth="1"/>
    <col min="10489" max="10489" width="15.88671875" style="585" customWidth="1"/>
    <col min="10490" max="10490" width="2.88671875" style="585" customWidth="1"/>
    <col min="10491" max="10491" width="4.33203125" style="585" customWidth="1"/>
    <col min="10492" max="10492" width="7.88671875" style="585" customWidth="1"/>
    <col min="10493" max="10493" width="3.33203125" style="585" customWidth="1"/>
    <col min="10494" max="10494" width="2.44140625" style="585" customWidth="1"/>
    <col min="10495" max="10522" width="9.33203125" style="585" customWidth="1"/>
    <col min="10523" max="10736" width="8.6640625" style="585"/>
    <col min="10737" max="10737" width="4.33203125" style="585" customWidth="1"/>
    <col min="10738" max="10738" width="2.88671875" style="585" customWidth="1"/>
    <col min="10739" max="10739" width="38.5546875" style="585" customWidth="1"/>
    <col min="10740" max="10740" width="7.88671875" style="585" customWidth="1"/>
    <col min="10741" max="10741" width="10.6640625" style="585" customWidth="1"/>
    <col min="10742" max="10742" width="4.33203125" style="585" customWidth="1"/>
    <col min="10743" max="10743" width="10.6640625" style="585" customWidth="1"/>
    <col min="10744" max="10744" width="4.33203125" style="585" customWidth="1"/>
    <col min="10745" max="10745" width="15.88671875" style="585" customWidth="1"/>
    <col min="10746" max="10746" width="2.88671875" style="585" customWidth="1"/>
    <col min="10747" max="10747" width="4.33203125" style="585" customWidth="1"/>
    <col min="10748" max="10748" width="7.88671875" style="585" customWidth="1"/>
    <col min="10749" max="10749" width="3.33203125" style="585" customWidth="1"/>
    <col min="10750" max="10750" width="2.44140625" style="585" customWidth="1"/>
    <col min="10751" max="10778" width="9.33203125" style="585" customWidth="1"/>
    <col min="10779" max="10992" width="8.6640625" style="585"/>
    <col min="10993" max="10993" width="4.33203125" style="585" customWidth="1"/>
    <col min="10994" max="10994" width="2.88671875" style="585" customWidth="1"/>
    <col min="10995" max="10995" width="38.5546875" style="585" customWidth="1"/>
    <col min="10996" max="10996" width="7.88671875" style="585" customWidth="1"/>
    <col min="10997" max="10997" width="10.6640625" style="585" customWidth="1"/>
    <col min="10998" max="10998" width="4.33203125" style="585" customWidth="1"/>
    <col min="10999" max="10999" width="10.6640625" style="585" customWidth="1"/>
    <col min="11000" max="11000" width="4.33203125" style="585" customWidth="1"/>
    <col min="11001" max="11001" width="15.88671875" style="585" customWidth="1"/>
    <col min="11002" max="11002" width="2.88671875" style="585" customWidth="1"/>
    <col min="11003" max="11003" width="4.33203125" style="585" customWidth="1"/>
    <col min="11004" max="11004" width="7.88671875" style="585" customWidth="1"/>
    <col min="11005" max="11005" width="3.33203125" style="585" customWidth="1"/>
    <col min="11006" max="11006" width="2.44140625" style="585" customWidth="1"/>
    <col min="11007" max="11034" width="9.33203125" style="585" customWidth="1"/>
    <col min="11035" max="11248" width="8.6640625" style="585"/>
    <col min="11249" max="11249" width="4.33203125" style="585" customWidth="1"/>
    <col min="11250" max="11250" width="2.88671875" style="585" customWidth="1"/>
    <col min="11251" max="11251" width="38.5546875" style="585" customWidth="1"/>
    <col min="11252" max="11252" width="7.88671875" style="585" customWidth="1"/>
    <col min="11253" max="11253" width="10.6640625" style="585" customWidth="1"/>
    <col min="11254" max="11254" width="4.33203125" style="585" customWidth="1"/>
    <col min="11255" max="11255" width="10.6640625" style="585" customWidth="1"/>
    <col min="11256" max="11256" width="4.33203125" style="585" customWidth="1"/>
    <col min="11257" max="11257" width="15.88671875" style="585" customWidth="1"/>
    <col min="11258" max="11258" width="2.88671875" style="585" customWidth="1"/>
    <col min="11259" max="11259" width="4.33203125" style="585" customWidth="1"/>
    <col min="11260" max="11260" width="7.88671875" style="585" customWidth="1"/>
    <col min="11261" max="11261" width="3.33203125" style="585" customWidth="1"/>
    <col min="11262" max="11262" width="2.44140625" style="585" customWidth="1"/>
    <col min="11263" max="11290" width="9.33203125" style="585" customWidth="1"/>
    <col min="11291" max="11504" width="8.6640625" style="585"/>
    <col min="11505" max="11505" width="4.33203125" style="585" customWidth="1"/>
    <col min="11506" max="11506" width="2.88671875" style="585" customWidth="1"/>
    <col min="11507" max="11507" width="38.5546875" style="585" customWidth="1"/>
    <col min="11508" max="11508" width="7.88671875" style="585" customWidth="1"/>
    <col min="11509" max="11509" width="10.6640625" style="585" customWidth="1"/>
    <col min="11510" max="11510" width="4.33203125" style="585" customWidth="1"/>
    <col min="11511" max="11511" width="10.6640625" style="585" customWidth="1"/>
    <col min="11512" max="11512" width="4.33203125" style="585" customWidth="1"/>
    <col min="11513" max="11513" width="15.88671875" style="585" customWidth="1"/>
    <col min="11514" max="11514" width="2.88671875" style="585" customWidth="1"/>
    <col min="11515" max="11515" width="4.33203125" style="585" customWidth="1"/>
    <col min="11516" max="11516" width="7.88671875" style="585" customWidth="1"/>
    <col min="11517" max="11517" width="3.33203125" style="585" customWidth="1"/>
    <col min="11518" max="11518" width="2.44140625" style="585" customWidth="1"/>
    <col min="11519" max="11546" width="9.33203125" style="585" customWidth="1"/>
    <col min="11547" max="11760" width="8.6640625" style="585"/>
    <col min="11761" max="11761" width="4.33203125" style="585" customWidth="1"/>
    <col min="11762" max="11762" width="2.88671875" style="585" customWidth="1"/>
    <col min="11763" max="11763" width="38.5546875" style="585" customWidth="1"/>
    <col min="11764" max="11764" width="7.88671875" style="585" customWidth="1"/>
    <col min="11765" max="11765" width="10.6640625" style="585" customWidth="1"/>
    <col min="11766" max="11766" width="4.33203125" style="585" customWidth="1"/>
    <col min="11767" max="11767" width="10.6640625" style="585" customWidth="1"/>
    <col min="11768" max="11768" width="4.33203125" style="585" customWidth="1"/>
    <col min="11769" max="11769" width="15.88671875" style="585" customWidth="1"/>
    <col min="11770" max="11770" width="2.88671875" style="585" customWidth="1"/>
    <col min="11771" max="11771" width="4.33203125" style="585" customWidth="1"/>
    <col min="11772" max="11772" width="7.88671875" style="585" customWidth="1"/>
    <col min="11773" max="11773" width="3.33203125" style="585" customWidth="1"/>
    <col min="11774" max="11774" width="2.44140625" style="585" customWidth="1"/>
    <col min="11775" max="11802" width="9.33203125" style="585" customWidth="1"/>
    <col min="11803" max="12016" width="8.6640625" style="585"/>
    <col min="12017" max="12017" width="4.33203125" style="585" customWidth="1"/>
    <col min="12018" max="12018" width="2.88671875" style="585" customWidth="1"/>
    <col min="12019" max="12019" width="38.5546875" style="585" customWidth="1"/>
    <col min="12020" max="12020" width="7.88671875" style="585" customWidth="1"/>
    <col min="12021" max="12021" width="10.6640625" style="585" customWidth="1"/>
    <col min="12022" max="12022" width="4.33203125" style="585" customWidth="1"/>
    <col min="12023" max="12023" width="10.6640625" style="585" customWidth="1"/>
    <col min="12024" max="12024" width="4.33203125" style="585" customWidth="1"/>
    <col min="12025" max="12025" width="15.88671875" style="585" customWidth="1"/>
    <col min="12026" max="12026" width="2.88671875" style="585" customWidth="1"/>
    <col min="12027" max="12027" width="4.33203125" style="585" customWidth="1"/>
    <col min="12028" max="12028" width="7.88671875" style="585" customWidth="1"/>
    <col min="12029" max="12029" width="3.33203125" style="585" customWidth="1"/>
    <col min="12030" max="12030" width="2.44140625" style="585" customWidth="1"/>
    <col min="12031" max="12058" width="9.33203125" style="585" customWidth="1"/>
    <col min="12059" max="12272" width="8.6640625" style="585"/>
    <col min="12273" max="12273" width="4.33203125" style="585" customWidth="1"/>
    <col min="12274" max="12274" width="2.88671875" style="585" customWidth="1"/>
    <col min="12275" max="12275" width="38.5546875" style="585" customWidth="1"/>
    <col min="12276" max="12276" width="7.88671875" style="585" customWidth="1"/>
    <col min="12277" max="12277" width="10.6640625" style="585" customWidth="1"/>
    <col min="12278" max="12278" width="4.33203125" style="585" customWidth="1"/>
    <col min="12279" max="12279" width="10.6640625" style="585" customWidth="1"/>
    <col min="12280" max="12280" width="4.33203125" style="585" customWidth="1"/>
    <col min="12281" max="12281" width="15.88671875" style="585" customWidth="1"/>
    <col min="12282" max="12282" width="2.88671875" style="585" customWidth="1"/>
    <col min="12283" max="12283" width="4.33203125" style="585" customWidth="1"/>
    <col min="12284" max="12284" width="7.88671875" style="585" customWidth="1"/>
    <col min="12285" max="12285" width="3.33203125" style="585" customWidth="1"/>
    <col min="12286" max="12286" width="2.44140625" style="585" customWidth="1"/>
    <col min="12287" max="12314" width="9.33203125" style="585" customWidth="1"/>
    <col min="12315" max="12528" width="8.6640625" style="585"/>
    <col min="12529" max="12529" width="4.33203125" style="585" customWidth="1"/>
    <col min="12530" max="12530" width="2.88671875" style="585" customWidth="1"/>
    <col min="12531" max="12531" width="38.5546875" style="585" customWidth="1"/>
    <col min="12532" max="12532" width="7.88671875" style="585" customWidth="1"/>
    <col min="12533" max="12533" width="10.6640625" style="585" customWidth="1"/>
    <col min="12534" max="12534" width="4.33203125" style="585" customWidth="1"/>
    <col min="12535" max="12535" width="10.6640625" style="585" customWidth="1"/>
    <col min="12536" max="12536" width="4.33203125" style="585" customWidth="1"/>
    <col min="12537" max="12537" width="15.88671875" style="585" customWidth="1"/>
    <col min="12538" max="12538" width="2.88671875" style="585" customWidth="1"/>
    <col min="12539" max="12539" width="4.33203125" style="585" customWidth="1"/>
    <col min="12540" max="12540" width="7.88671875" style="585" customWidth="1"/>
    <col min="12541" max="12541" width="3.33203125" style="585" customWidth="1"/>
    <col min="12542" max="12542" width="2.44140625" style="585" customWidth="1"/>
    <col min="12543" max="12570" width="9.33203125" style="585" customWidth="1"/>
    <col min="12571" max="12784" width="8.6640625" style="585"/>
    <col min="12785" max="12785" width="4.33203125" style="585" customWidth="1"/>
    <col min="12786" max="12786" width="2.88671875" style="585" customWidth="1"/>
    <col min="12787" max="12787" width="38.5546875" style="585" customWidth="1"/>
    <col min="12788" max="12788" width="7.88671875" style="585" customWidth="1"/>
    <col min="12789" max="12789" width="10.6640625" style="585" customWidth="1"/>
    <col min="12790" max="12790" width="4.33203125" style="585" customWidth="1"/>
    <col min="12791" max="12791" width="10.6640625" style="585" customWidth="1"/>
    <col min="12792" max="12792" width="4.33203125" style="585" customWidth="1"/>
    <col min="12793" max="12793" width="15.88671875" style="585" customWidth="1"/>
    <col min="12794" max="12794" width="2.88671875" style="585" customWidth="1"/>
    <col min="12795" max="12795" width="4.33203125" style="585" customWidth="1"/>
    <col min="12796" max="12796" width="7.88671875" style="585" customWidth="1"/>
    <col min="12797" max="12797" width="3.33203125" style="585" customWidth="1"/>
    <col min="12798" max="12798" width="2.44140625" style="585" customWidth="1"/>
    <col min="12799" max="12826" width="9.33203125" style="585" customWidth="1"/>
    <col min="12827" max="13040" width="8.6640625" style="585"/>
    <col min="13041" max="13041" width="4.33203125" style="585" customWidth="1"/>
    <col min="13042" max="13042" width="2.88671875" style="585" customWidth="1"/>
    <col min="13043" max="13043" width="38.5546875" style="585" customWidth="1"/>
    <col min="13044" max="13044" width="7.88671875" style="585" customWidth="1"/>
    <col min="13045" max="13045" width="10.6640625" style="585" customWidth="1"/>
    <col min="13046" max="13046" width="4.33203125" style="585" customWidth="1"/>
    <col min="13047" max="13047" width="10.6640625" style="585" customWidth="1"/>
    <col min="13048" max="13048" width="4.33203125" style="585" customWidth="1"/>
    <col min="13049" max="13049" width="15.88671875" style="585" customWidth="1"/>
    <col min="13050" max="13050" width="2.88671875" style="585" customWidth="1"/>
    <col min="13051" max="13051" width="4.33203125" style="585" customWidth="1"/>
    <col min="13052" max="13052" width="7.88671875" style="585" customWidth="1"/>
    <col min="13053" max="13053" width="3.33203125" style="585" customWidth="1"/>
    <col min="13054" max="13054" width="2.44140625" style="585" customWidth="1"/>
    <col min="13055" max="13082" width="9.33203125" style="585" customWidth="1"/>
    <col min="13083" max="13296" width="8.6640625" style="585"/>
    <col min="13297" max="13297" width="4.33203125" style="585" customWidth="1"/>
    <col min="13298" max="13298" width="2.88671875" style="585" customWidth="1"/>
    <col min="13299" max="13299" width="38.5546875" style="585" customWidth="1"/>
    <col min="13300" max="13300" width="7.88671875" style="585" customWidth="1"/>
    <col min="13301" max="13301" width="10.6640625" style="585" customWidth="1"/>
    <col min="13302" max="13302" width="4.33203125" style="585" customWidth="1"/>
    <col min="13303" max="13303" width="10.6640625" style="585" customWidth="1"/>
    <col min="13304" max="13304" width="4.33203125" style="585" customWidth="1"/>
    <col min="13305" max="13305" width="15.88671875" style="585" customWidth="1"/>
    <col min="13306" max="13306" width="2.88671875" style="585" customWidth="1"/>
    <col min="13307" max="13307" width="4.33203125" style="585" customWidth="1"/>
    <col min="13308" max="13308" width="7.88671875" style="585" customWidth="1"/>
    <col min="13309" max="13309" width="3.33203125" style="585" customWidth="1"/>
    <col min="13310" max="13310" width="2.44140625" style="585" customWidth="1"/>
    <col min="13311" max="13338" width="9.33203125" style="585" customWidth="1"/>
    <col min="13339" max="13552" width="8.6640625" style="585"/>
    <col min="13553" max="13553" width="4.33203125" style="585" customWidth="1"/>
    <col min="13554" max="13554" width="2.88671875" style="585" customWidth="1"/>
    <col min="13555" max="13555" width="38.5546875" style="585" customWidth="1"/>
    <col min="13556" max="13556" width="7.88671875" style="585" customWidth="1"/>
    <col min="13557" max="13557" width="10.6640625" style="585" customWidth="1"/>
    <col min="13558" max="13558" width="4.33203125" style="585" customWidth="1"/>
    <col min="13559" max="13559" width="10.6640625" style="585" customWidth="1"/>
    <col min="13560" max="13560" width="4.33203125" style="585" customWidth="1"/>
    <col min="13561" max="13561" width="15.88671875" style="585" customWidth="1"/>
    <col min="13562" max="13562" width="2.88671875" style="585" customWidth="1"/>
    <col min="13563" max="13563" width="4.33203125" style="585" customWidth="1"/>
    <col min="13564" max="13564" width="7.88671875" style="585" customWidth="1"/>
    <col min="13565" max="13565" width="3.33203125" style="585" customWidth="1"/>
    <col min="13566" max="13566" width="2.44140625" style="585" customWidth="1"/>
    <col min="13567" max="13594" width="9.33203125" style="585" customWidth="1"/>
    <col min="13595" max="13808" width="8.6640625" style="585"/>
    <col min="13809" max="13809" width="4.33203125" style="585" customWidth="1"/>
    <col min="13810" max="13810" width="2.88671875" style="585" customWidth="1"/>
    <col min="13811" max="13811" width="38.5546875" style="585" customWidth="1"/>
    <col min="13812" max="13812" width="7.88671875" style="585" customWidth="1"/>
    <col min="13813" max="13813" width="10.6640625" style="585" customWidth="1"/>
    <col min="13814" max="13814" width="4.33203125" style="585" customWidth="1"/>
    <col min="13815" max="13815" width="10.6640625" style="585" customWidth="1"/>
    <col min="13816" max="13816" width="4.33203125" style="585" customWidth="1"/>
    <col min="13817" max="13817" width="15.88671875" style="585" customWidth="1"/>
    <col min="13818" max="13818" width="2.88671875" style="585" customWidth="1"/>
    <col min="13819" max="13819" width="4.33203125" style="585" customWidth="1"/>
    <col min="13820" max="13820" width="7.88671875" style="585" customWidth="1"/>
    <col min="13821" max="13821" width="3.33203125" style="585" customWidth="1"/>
    <col min="13822" max="13822" width="2.44140625" style="585" customWidth="1"/>
    <col min="13823" max="13850" width="9.33203125" style="585" customWidth="1"/>
    <col min="13851" max="14064" width="8.6640625" style="585"/>
    <col min="14065" max="14065" width="4.33203125" style="585" customWidth="1"/>
    <col min="14066" max="14066" width="2.88671875" style="585" customWidth="1"/>
    <col min="14067" max="14067" width="38.5546875" style="585" customWidth="1"/>
    <col min="14068" max="14068" width="7.88671875" style="585" customWidth="1"/>
    <col min="14069" max="14069" width="10.6640625" style="585" customWidth="1"/>
    <col min="14070" max="14070" width="4.33203125" style="585" customWidth="1"/>
    <col min="14071" max="14071" width="10.6640625" style="585" customWidth="1"/>
    <col min="14072" max="14072" width="4.33203125" style="585" customWidth="1"/>
    <col min="14073" max="14073" width="15.88671875" style="585" customWidth="1"/>
    <col min="14074" max="14074" width="2.88671875" style="585" customWidth="1"/>
    <col min="14075" max="14075" width="4.33203125" style="585" customWidth="1"/>
    <col min="14076" max="14076" width="7.88671875" style="585" customWidth="1"/>
    <col min="14077" max="14077" width="3.33203125" style="585" customWidth="1"/>
    <col min="14078" max="14078" width="2.44140625" style="585" customWidth="1"/>
    <col min="14079" max="14106" width="9.33203125" style="585" customWidth="1"/>
    <col min="14107" max="14320" width="8.6640625" style="585"/>
    <col min="14321" max="14321" width="4.33203125" style="585" customWidth="1"/>
    <col min="14322" max="14322" width="2.88671875" style="585" customWidth="1"/>
    <col min="14323" max="14323" width="38.5546875" style="585" customWidth="1"/>
    <col min="14324" max="14324" width="7.88671875" style="585" customWidth="1"/>
    <col min="14325" max="14325" width="10.6640625" style="585" customWidth="1"/>
    <col min="14326" max="14326" width="4.33203125" style="585" customWidth="1"/>
    <col min="14327" max="14327" width="10.6640625" style="585" customWidth="1"/>
    <col min="14328" max="14328" width="4.33203125" style="585" customWidth="1"/>
    <col min="14329" max="14329" width="15.88671875" style="585" customWidth="1"/>
    <col min="14330" max="14330" width="2.88671875" style="585" customWidth="1"/>
    <col min="14331" max="14331" width="4.33203125" style="585" customWidth="1"/>
    <col min="14332" max="14332" width="7.88671875" style="585" customWidth="1"/>
    <col min="14333" max="14333" width="3.33203125" style="585" customWidth="1"/>
    <col min="14334" max="14334" width="2.44140625" style="585" customWidth="1"/>
    <col min="14335" max="14362" width="9.33203125" style="585" customWidth="1"/>
    <col min="14363" max="14576" width="8.6640625" style="585"/>
    <col min="14577" max="14577" width="4.33203125" style="585" customWidth="1"/>
    <col min="14578" max="14578" width="2.88671875" style="585" customWidth="1"/>
    <col min="14579" max="14579" width="38.5546875" style="585" customWidth="1"/>
    <col min="14580" max="14580" width="7.88671875" style="585" customWidth="1"/>
    <col min="14581" max="14581" width="10.6640625" style="585" customWidth="1"/>
    <col min="14582" max="14582" width="4.33203125" style="585" customWidth="1"/>
    <col min="14583" max="14583" width="10.6640625" style="585" customWidth="1"/>
    <col min="14584" max="14584" width="4.33203125" style="585" customWidth="1"/>
    <col min="14585" max="14585" width="15.88671875" style="585" customWidth="1"/>
    <col min="14586" max="14586" width="2.88671875" style="585" customWidth="1"/>
    <col min="14587" max="14587" width="4.33203125" style="585" customWidth="1"/>
    <col min="14588" max="14588" width="7.88671875" style="585" customWidth="1"/>
    <col min="14589" max="14589" width="3.33203125" style="585" customWidth="1"/>
    <col min="14590" max="14590" width="2.44140625" style="585" customWidth="1"/>
    <col min="14591" max="14618" width="9.33203125" style="585" customWidth="1"/>
    <col min="14619" max="14832" width="8.6640625" style="585"/>
    <col min="14833" max="14833" width="4.33203125" style="585" customWidth="1"/>
    <col min="14834" max="14834" width="2.88671875" style="585" customWidth="1"/>
    <col min="14835" max="14835" width="38.5546875" style="585" customWidth="1"/>
    <col min="14836" max="14836" width="7.88671875" style="585" customWidth="1"/>
    <col min="14837" max="14837" width="10.6640625" style="585" customWidth="1"/>
    <col min="14838" max="14838" width="4.33203125" style="585" customWidth="1"/>
    <col min="14839" max="14839" width="10.6640625" style="585" customWidth="1"/>
    <col min="14840" max="14840" width="4.33203125" style="585" customWidth="1"/>
    <col min="14841" max="14841" width="15.88671875" style="585" customWidth="1"/>
    <col min="14842" max="14842" width="2.88671875" style="585" customWidth="1"/>
    <col min="14843" max="14843" width="4.33203125" style="585" customWidth="1"/>
    <col min="14844" max="14844" width="7.88671875" style="585" customWidth="1"/>
    <col min="14845" max="14845" width="3.33203125" style="585" customWidth="1"/>
    <col min="14846" max="14846" width="2.44140625" style="585" customWidth="1"/>
    <col min="14847" max="14874" width="9.33203125" style="585" customWidth="1"/>
    <col min="14875" max="15088" width="8.6640625" style="585"/>
    <col min="15089" max="15089" width="4.33203125" style="585" customWidth="1"/>
    <col min="15090" max="15090" width="2.88671875" style="585" customWidth="1"/>
    <col min="15091" max="15091" width="38.5546875" style="585" customWidth="1"/>
    <col min="15092" max="15092" width="7.88671875" style="585" customWidth="1"/>
    <col min="15093" max="15093" width="10.6640625" style="585" customWidth="1"/>
    <col min="15094" max="15094" width="4.33203125" style="585" customWidth="1"/>
    <col min="15095" max="15095" width="10.6640625" style="585" customWidth="1"/>
    <col min="15096" max="15096" width="4.33203125" style="585" customWidth="1"/>
    <col min="15097" max="15097" width="15.88671875" style="585" customWidth="1"/>
    <col min="15098" max="15098" width="2.88671875" style="585" customWidth="1"/>
    <col min="15099" max="15099" width="4.33203125" style="585" customWidth="1"/>
    <col min="15100" max="15100" width="7.88671875" style="585" customWidth="1"/>
    <col min="15101" max="15101" width="3.33203125" style="585" customWidth="1"/>
    <col min="15102" max="15102" width="2.44140625" style="585" customWidth="1"/>
    <col min="15103" max="15130" width="9.33203125" style="585" customWidth="1"/>
    <col min="15131" max="15344" width="8.6640625" style="585"/>
    <col min="15345" max="15345" width="4.33203125" style="585" customWidth="1"/>
    <col min="15346" max="15346" width="2.88671875" style="585" customWidth="1"/>
    <col min="15347" max="15347" width="38.5546875" style="585" customWidth="1"/>
    <col min="15348" max="15348" width="7.88671875" style="585" customWidth="1"/>
    <col min="15349" max="15349" width="10.6640625" style="585" customWidth="1"/>
    <col min="15350" max="15350" width="4.33203125" style="585" customWidth="1"/>
    <col min="15351" max="15351" width="10.6640625" style="585" customWidth="1"/>
    <col min="15352" max="15352" width="4.33203125" style="585" customWidth="1"/>
    <col min="15353" max="15353" width="15.88671875" style="585" customWidth="1"/>
    <col min="15354" max="15354" width="2.88671875" style="585" customWidth="1"/>
    <col min="15355" max="15355" width="4.33203125" style="585" customWidth="1"/>
    <col min="15356" max="15356" width="7.88671875" style="585" customWidth="1"/>
    <col min="15357" max="15357" width="3.33203125" style="585" customWidth="1"/>
    <col min="15358" max="15358" width="2.44140625" style="585" customWidth="1"/>
    <col min="15359" max="15386" width="9.33203125" style="585" customWidth="1"/>
    <col min="15387" max="15600" width="8.6640625" style="585"/>
    <col min="15601" max="15601" width="4.33203125" style="585" customWidth="1"/>
    <col min="15602" max="15602" width="2.88671875" style="585" customWidth="1"/>
    <col min="15603" max="15603" width="38.5546875" style="585" customWidth="1"/>
    <col min="15604" max="15604" width="7.88671875" style="585" customWidth="1"/>
    <col min="15605" max="15605" width="10.6640625" style="585" customWidth="1"/>
    <col min="15606" max="15606" width="4.33203125" style="585" customWidth="1"/>
    <col min="15607" max="15607" width="10.6640625" style="585" customWidth="1"/>
    <col min="15608" max="15608" width="4.33203125" style="585" customWidth="1"/>
    <col min="15609" max="15609" width="15.88671875" style="585" customWidth="1"/>
    <col min="15610" max="15610" width="2.88671875" style="585" customWidth="1"/>
    <col min="15611" max="15611" width="4.33203125" style="585" customWidth="1"/>
    <col min="15612" max="15612" width="7.88671875" style="585" customWidth="1"/>
    <col min="15613" max="15613" width="3.33203125" style="585" customWidth="1"/>
    <col min="15614" max="15614" width="2.44140625" style="585" customWidth="1"/>
    <col min="15615" max="15642" width="9.33203125" style="585" customWidth="1"/>
    <col min="15643" max="15856" width="8.6640625" style="585"/>
    <col min="15857" max="15857" width="4.33203125" style="585" customWidth="1"/>
    <col min="15858" max="15858" width="2.88671875" style="585" customWidth="1"/>
    <col min="15859" max="15859" width="38.5546875" style="585" customWidth="1"/>
    <col min="15860" max="15860" width="7.88671875" style="585" customWidth="1"/>
    <col min="15861" max="15861" width="10.6640625" style="585" customWidth="1"/>
    <col min="15862" max="15862" width="4.33203125" style="585" customWidth="1"/>
    <col min="15863" max="15863" width="10.6640625" style="585" customWidth="1"/>
    <col min="15864" max="15864" width="4.33203125" style="585" customWidth="1"/>
    <col min="15865" max="15865" width="15.88671875" style="585" customWidth="1"/>
    <col min="15866" max="15866" width="2.88671875" style="585" customWidth="1"/>
    <col min="15867" max="15867" width="4.33203125" style="585" customWidth="1"/>
    <col min="15868" max="15868" width="7.88671875" style="585" customWidth="1"/>
    <col min="15869" max="15869" width="3.33203125" style="585" customWidth="1"/>
    <col min="15870" max="15870" width="2.44140625" style="585" customWidth="1"/>
    <col min="15871" max="15898" width="9.33203125" style="585" customWidth="1"/>
    <col min="15899" max="16112" width="8.6640625" style="585"/>
    <col min="16113" max="16113" width="4.33203125" style="585" customWidth="1"/>
    <col min="16114" max="16114" width="2.88671875" style="585" customWidth="1"/>
    <col min="16115" max="16115" width="38.5546875" style="585" customWidth="1"/>
    <col min="16116" max="16116" width="7.88671875" style="585" customWidth="1"/>
    <col min="16117" max="16117" width="10.6640625" style="585" customWidth="1"/>
    <col min="16118" max="16118" width="4.33203125" style="585" customWidth="1"/>
    <col min="16119" max="16119" width="10.6640625" style="585" customWidth="1"/>
    <col min="16120" max="16120" width="4.33203125" style="585" customWidth="1"/>
    <col min="16121" max="16121" width="15.88671875" style="585" customWidth="1"/>
    <col min="16122" max="16122" width="2.88671875" style="585" customWidth="1"/>
    <col min="16123" max="16123" width="4.33203125" style="585" customWidth="1"/>
    <col min="16124" max="16124" width="7.88671875" style="585" customWidth="1"/>
    <col min="16125" max="16125" width="3.33203125" style="585" customWidth="1"/>
    <col min="16126" max="16126" width="2.44140625" style="585" customWidth="1"/>
    <col min="16127" max="16154" width="9.33203125" style="585" customWidth="1"/>
    <col min="16155" max="16368" width="8.6640625" style="585"/>
    <col min="16369" max="16384" width="8.6640625" style="585" customWidth="1"/>
  </cols>
  <sheetData>
    <row r="1" spans="1:11">
      <c r="K1" s="586" t="s">
        <v>930</v>
      </c>
    </row>
    <row r="2" spans="1:11">
      <c r="B2" s="589"/>
      <c r="C2" s="589"/>
      <c r="D2" s="589"/>
      <c r="F2" s="589"/>
      <c r="G2" s="589"/>
      <c r="H2" s="589"/>
      <c r="I2" s="589"/>
      <c r="J2" s="589"/>
      <c r="K2" s="517" t="s">
        <v>797</v>
      </c>
    </row>
    <row r="3" spans="1:11">
      <c r="A3" s="1177" t="s">
        <v>4</v>
      </c>
      <c r="B3" s="1177"/>
      <c r="C3" s="1177"/>
      <c r="D3" s="1177"/>
      <c r="E3" s="1177"/>
      <c r="F3" s="1177"/>
      <c r="G3" s="1177"/>
      <c r="H3" s="1177"/>
      <c r="I3" s="1177"/>
      <c r="J3" s="1177"/>
      <c r="K3" s="1177"/>
    </row>
    <row r="4" spans="1:11">
      <c r="A4" s="1178" t="s">
        <v>931</v>
      </c>
      <c r="B4" s="1178"/>
      <c r="C4" s="1178"/>
      <c r="D4" s="1178"/>
      <c r="E4" s="1178"/>
      <c r="F4" s="1178"/>
      <c r="G4" s="1178"/>
      <c r="H4" s="1178"/>
      <c r="I4" s="1178"/>
      <c r="J4" s="1178"/>
      <c r="K4" s="1178"/>
    </row>
    <row r="5" spans="1:11">
      <c r="A5" s="1173" t="str">
        <f>'A2'!A5</f>
        <v>Prior Years Ended December 31, 2022 and 2023, Test Year Ended June 30, 2024</v>
      </c>
      <c r="B5" s="1173"/>
      <c r="C5" s="1173"/>
      <c r="D5" s="1173"/>
      <c r="E5" s="1173"/>
      <c r="F5" s="1173"/>
      <c r="G5" s="1173"/>
      <c r="H5" s="1173"/>
      <c r="I5" s="1173"/>
      <c r="J5" s="1173"/>
      <c r="K5" s="1173"/>
    </row>
    <row r="6" spans="1:11">
      <c r="A6" s="1173" t="s">
        <v>1528</v>
      </c>
      <c r="B6" s="1173"/>
      <c r="C6" s="1173"/>
      <c r="D6" s="1173"/>
      <c r="E6" s="1173"/>
      <c r="F6" s="1173"/>
      <c r="G6" s="1173"/>
      <c r="H6" s="1173"/>
      <c r="I6" s="1173"/>
      <c r="J6" s="1173"/>
      <c r="K6" s="1173"/>
    </row>
    <row r="7" spans="1:11">
      <c r="A7" s="1178" t="s">
        <v>799</v>
      </c>
      <c r="B7" s="1178"/>
      <c r="C7" s="1178"/>
      <c r="D7" s="1178"/>
      <c r="E7" s="1178"/>
      <c r="F7" s="1178"/>
      <c r="G7" s="1178"/>
      <c r="H7" s="1178"/>
      <c r="I7" s="1178"/>
      <c r="J7" s="1178"/>
      <c r="K7" s="1178"/>
    </row>
    <row r="8" spans="1:11">
      <c r="A8" s="592"/>
      <c r="B8" s="587"/>
      <c r="C8" s="587"/>
      <c r="D8" s="587"/>
      <c r="E8" s="587"/>
      <c r="F8" s="587"/>
      <c r="G8" s="587"/>
      <c r="H8" s="587"/>
      <c r="I8" s="587"/>
      <c r="J8" s="587"/>
      <c r="K8" s="587"/>
    </row>
    <row r="9" spans="1:11">
      <c r="A9" s="590" t="s">
        <v>331</v>
      </c>
      <c r="E9" s="590" t="s">
        <v>932</v>
      </c>
      <c r="G9" s="590" t="s">
        <v>933</v>
      </c>
      <c r="I9" s="590" t="s">
        <v>934</v>
      </c>
      <c r="K9" s="590" t="s">
        <v>331</v>
      </c>
    </row>
    <row r="10" spans="1:11">
      <c r="A10" s="593" t="s">
        <v>333</v>
      </c>
      <c r="C10" s="593" t="s">
        <v>268</v>
      </c>
      <c r="E10" s="593" t="s">
        <v>935</v>
      </c>
      <c r="G10" s="593" t="s">
        <v>936</v>
      </c>
      <c r="I10" s="593" t="s">
        <v>273</v>
      </c>
      <c r="K10" s="593" t="s">
        <v>333</v>
      </c>
    </row>
    <row r="11" spans="1:11">
      <c r="A11" s="590"/>
      <c r="E11" s="590"/>
      <c r="G11" s="590"/>
      <c r="I11" s="590"/>
      <c r="K11" s="590"/>
    </row>
    <row r="12" spans="1:11">
      <c r="A12" s="590"/>
      <c r="I12" s="591"/>
      <c r="K12" s="590"/>
    </row>
    <row r="13" spans="1:11">
      <c r="A13" s="590">
        <v>1</v>
      </c>
      <c r="C13" s="585" t="s">
        <v>1529</v>
      </c>
      <c r="D13" s="590" t="s">
        <v>804</v>
      </c>
      <c r="E13" s="591">
        <f>-'E3'!D32</f>
        <v>33871</v>
      </c>
      <c r="G13" s="591">
        <f>G58</f>
        <v>25016.195000000007</v>
      </c>
      <c r="I13" s="591">
        <f>'E1'!D12</f>
        <v>566056</v>
      </c>
      <c r="K13" s="590">
        <f>+A13</f>
        <v>1</v>
      </c>
    </row>
    <row r="14" spans="1:11">
      <c r="A14" s="590"/>
      <c r="D14" s="590"/>
      <c r="K14" s="590"/>
    </row>
    <row r="15" spans="1:11">
      <c r="A15" s="590">
        <f>+A13+1</f>
        <v>2</v>
      </c>
      <c r="C15" s="585" t="s">
        <v>1530</v>
      </c>
      <c r="D15" s="590" t="s">
        <v>804</v>
      </c>
      <c r="E15" s="591">
        <f>-'E3'!C32</f>
        <v>37288</v>
      </c>
      <c r="G15" s="591">
        <f>I58</f>
        <v>30920.85699999996</v>
      </c>
      <c r="I15" s="591">
        <f>'E1'!C12</f>
        <v>596977</v>
      </c>
      <c r="K15" s="590">
        <f>+A15</f>
        <v>2</v>
      </c>
    </row>
    <row r="16" spans="1:11">
      <c r="A16" s="590"/>
      <c r="D16" s="590"/>
      <c r="K16" s="590"/>
    </row>
    <row r="17" spans="1:11">
      <c r="A17" s="590">
        <f>+A15+1</f>
        <v>3</v>
      </c>
      <c r="C17" s="585" t="s">
        <v>1427</v>
      </c>
      <c r="D17" s="590" t="s">
        <v>804</v>
      </c>
      <c r="E17" s="591">
        <f>-'E3'!B32</f>
        <v>37033</v>
      </c>
      <c r="G17" s="591">
        <f>L58</f>
        <v>11406.148000000045</v>
      </c>
      <c r="I17" s="591">
        <f>'E1'!B12</f>
        <v>608383</v>
      </c>
      <c r="K17" s="590">
        <f>+A17</f>
        <v>3</v>
      </c>
    </row>
    <row r="18" spans="1:11">
      <c r="A18" s="590"/>
      <c r="I18" s="1011"/>
      <c r="K18" s="590"/>
    </row>
    <row r="19" spans="1:11">
      <c r="A19" s="590">
        <f>+A17+1</f>
        <v>4</v>
      </c>
      <c r="C19" s="585" t="s">
        <v>937</v>
      </c>
      <c r="D19" s="590" t="s">
        <v>806</v>
      </c>
      <c r="E19" s="591">
        <f>'F3'!H21</f>
        <v>35461.308679999995</v>
      </c>
      <c r="G19" s="591">
        <v>33451.978000000003</v>
      </c>
      <c r="I19" s="591">
        <v>633147.33897000004</v>
      </c>
      <c r="J19" s="594"/>
      <c r="K19" s="590">
        <f>+A19</f>
        <v>4</v>
      </c>
    </row>
    <row r="20" spans="1:11">
      <c r="A20" s="590"/>
      <c r="D20" s="590"/>
      <c r="K20" s="590"/>
    </row>
    <row r="21" spans="1:11">
      <c r="A21" s="590">
        <f>+A19+1</f>
        <v>5</v>
      </c>
      <c r="C21" s="585" t="s">
        <v>1531</v>
      </c>
      <c r="D21" s="590" t="s">
        <v>806</v>
      </c>
      <c r="E21" s="591">
        <f>'F3'!J21</f>
        <v>35547.5</v>
      </c>
      <c r="G21" s="591">
        <v>34361.609999999986</v>
      </c>
      <c r="I21" s="591">
        <v>667509.33897000004</v>
      </c>
      <c r="J21" s="594"/>
      <c r="K21" s="590">
        <f>+A21</f>
        <v>5</v>
      </c>
    </row>
    <row r="22" spans="1:11">
      <c r="A22" s="590"/>
      <c r="D22" s="590"/>
      <c r="K22" s="590"/>
    </row>
    <row r="23" spans="1:11">
      <c r="A23" s="590">
        <f>+A21+1</f>
        <v>6</v>
      </c>
      <c r="C23" s="585" t="s">
        <v>1532</v>
      </c>
      <c r="D23" s="590" t="s">
        <v>806</v>
      </c>
      <c r="E23" s="591">
        <f>'F3'!L21</f>
        <v>27654.28</v>
      </c>
      <c r="G23" s="591">
        <v>26694.37</v>
      </c>
      <c r="I23" s="591">
        <v>694203.33897000004</v>
      </c>
      <c r="J23" s="594"/>
      <c r="K23" s="590">
        <f>+A23</f>
        <v>6</v>
      </c>
    </row>
    <row r="24" spans="1:11">
      <c r="A24" s="590"/>
      <c r="D24" s="590"/>
    </row>
    <row r="25" spans="1:11">
      <c r="A25" s="590"/>
    </row>
    <row r="26" spans="1:11">
      <c r="A26" s="590"/>
    </row>
    <row r="27" spans="1:11">
      <c r="C27" s="516"/>
    </row>
    <row r="30" spans="1:11">
      <c r="D30" s="595" t="s">
        <v>826</v>
      </c>
    </row>
    <row r="31" spans="1:11">
      <c r="D31" s="590" t="s">
        <v>938</v>
      </c>
      <c r="G31" s="573"/>
      <c r="H31" s="573"/>
      <c r="I31" s="573"/>
    </row>
    <row r="32" spans="1:11">
      <c r="D32" s="590" t="s">
        <v>939</v>
      </c>
    </row>
    <row r="36" spans="1:11">
      <c r="A36" s="547" t="s">
        <v>940</v>
      </c>
      <c r="E36" s="591"/>
      <c r="G36" s="591"/>
      <c r="I36" s="591"/>
      <c r="K36" s="591"/>
    </row>
    <row r="38" spans="1:11">
      <c r="A38" s="547" t="s">
        <v>835</v>
      </c>
      <c r="B38" s="558"/>
    </row>
    <row r="39" spans="1:11">
      <c r="A39" s="547" t="s">
        <v>941</v>
      </c>
      <c r="K39" s="591"/>
    </row>
    <row r="40" spans="1:11">
      <c r="A40" s="548" t="s">
        <v>942</v>
      </c>
      <c r="C40" s="548"/>
    </row>
    <row r="41" spans="1:11">
      <c r="A41" s="548" t="s">
        <v>943</v>
      </c>
      <c r="C41" s="548"/>
    </row>
    <row r="42" spans="1:11">
      <c r="A42" s="548"/>
      <c r="B42" s="548"/>
      <c r="K42" s="591"/>
    </row>
    <row r="43" spans="1:11">
      <c r="A43" s="547" t="s">
        <v>944</v>
      </c>
    </row>
    <row r="44" spans="1:11">
      <c r="A44" s="548" t="s">
        <v>945</v>
      </c>
    </row>
    <row r="46" spans="1:11">
      <c r="A46" s="596" t="s">
        <v>946</v>
      </c>
      <c r="B46" s="596"/>
      <c r="C46" s="596"/>
    </row>
    <row r="47" spans="1:11">
      <c r="A47" s="597" t="s">
        <v>947</v>
      </c>
    </row>
    <row r="48" spans="1:11">
      <c r="A48" s="597" t="s">
        <v>1919</v>
      </c>
    </row>
    <row r="51" spans="3:12">
      <c r="C51" s="590" t="s">
        <v>948</v>
      </c>
      <c r="E51" s="590">
        <v>2021</v>
      </c>
      <c r="F51" s="590"/>
      <c r="G51" s="590">
        <v>2022</v>
      </c>
      <c r="H51" s="590"/>
      <c r="I51" s="590">
        <v>2023</v>
      </c>
      <c r="L51" s="588" t="s">
        <v>1443</v>
      </c>
    </row>
    <row r="52" spans="3:12">
      <c r="C52" s="590"/>
      <c r="F52" s="586"/>
      <c r="G52" s="598"/>
      <c r="H52" s="586"/>
      <c r="I52" s="598"/>
      <c r="L52" s="598"/>
    </row>
    <row r="53" spans="3:12">
      <c r="C53" s="590" t="s">
        <v>949</v>
      </c>
      <c r="E53" s="625">
        <f>515455899/1000</f>
        <v>515455.89899999998</v>
      </c>
      <c r="F53" s="979"/>
      <c r="G53" s="979">
        <f>534377061/1000</f>
        <v>534377.06099999999</v>
      </c>
      <c r="H53" s="979"/>
      <c r="I53" s="979">
        <f>552541316/1000</f>
        <v>552541.31599999999</v>
      </c>
      <c r="L53" s="979">
        <f>579516649/1000</f>
        <v>579516.64899999998</v>
      </c>
    </row>
    <row r="54" spans="3:12">
      <c r="C54" s="590" t="s">
        <v>950</v>
      </c>
      <c r="E54" s="625">
        <f>7486185/1000</f>
        <v>7486.1850000000004</v>
      </c>
      <c r="F54" s="625"/>
      <c r="G54" s="625">
        <f>13581218/1000</f>
        <v>13581.218000000001</v>
      </c>
      <c r="H54" s="625"/>
      <c r="I54" s="625">
        <f>26337820/1000</f>
        <v>26337.82</v>
      </c>
      <c r="L54" s="625">
        <f>10768635/1000</f>
        <v>10768.635</v>
      </c>
    </row>
    <row r="55" spans="3:12">
      <c r="C55" s="590" t="s">
        <v>951</v>
      </c>
      <c r="E55" s="721">
        <v>0</v>
      </c>
      <c r="F55" s="625"/>
      <c r="G55" s="721">
        <v>0</v>
      </c>
      <c r="H55" s="625"/>
      <c r="I55" s="721">
        <v>0</v>
      </c>
      <c r="L55" s="721">
        <v>0</v>
      </c>
    </row>
    <row r="56" spans="3:12">
      <c r="E56" s="626">
        <f>SUM(E53:E55)</f>
        <v>522942.08399999997</v>
      </c>
      <c r="F56" s="626"/>
      <c r="G56" s="626">
        <f>SUM(G53:G55)</f>
        <v>547958.27899999998</v>
      </c>
      <c r="H56" s="626"/>
      <c r="I56" s="626">
        <f>SUM(I53:I55)</f>
        <v>578879.13599999994</v>
      </c>
      <c r="L56" s="626">
        <f>SUM(L53:L55)</f>
        <v>590285.28399999999</v>
      </c>
    </row>
    <row r="57" spans="3:12">
      <c r="D57" s="626"/>
      <c r="F57" s="626"/>
      <c r="G57" s="626"/>
      <c r="H57" s="626"/>
      <c r="I57" s="626"/>
      <c r="L57" s="626"/>
    </row>
    <row r="58" spans="3:12">
      <c r="C58" s="590" t="s">
        <v>952</v>
      </c>
      <c r="D58" s="626"/>
      <c r="F58" s="626"/>
      <c r="G58" s="626">
        <f>G56-E56</f>
        <v>25016.195000000007</v>
      </c>
      <c r="H58" s="626"/>
      <c r="I58" s="626">
        <f>I56-G56</f>
        <v>30920.85699999996</v>
      </c>
      <c r="L58" s="625">
        <f>L56-I56</f>
        <v>11406.148000000045</v>
      </c>
    </row>
  </sheetData>
  <mergeCells count="5">
    <mergeCell ref="A3:K3"/>
    <mergeCell ref="A4:K4"/>
    <mergeCell ref="A5:K5"/>
    <mergeCell ref="A6:K6"/>
    <mergeCell ref="A7:K7"/>
  </mergeCells>
  <printOptions horizontalCentered="1"/>
  <pageMargins left="0.7" right="0.7" top="0.75" bottom="0.75" header="0.3" footer="0.3"/>
  <pageSetup fitToHeight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34571-72A1-4488-9F06-5456CAEC698A}">
  <sheetPr>
    <tabColor rgb="FFFFFFCC"/>
    <pageSetUpPr fitToPage="1"/>
  </sheetPr>
  <dimension ref="A1:O37"/>
  <sheetViews>
    <sheetView showGridLines="0" zoomScaleNormal="100" zoomScaleSheetLayoutView="100" workbookViewId="0"/>
  </sheetViews>
  <sheetFormatPr defaultRowHeight="10.199999999999999"/>
  <cols>
    <col min="1" max="1" width="3.88671875" style="599" customWidth="1"/>
    <col min="2" max="2" width="2.88671875" style="599" customWidth="1"/>
    <col min="3" max="3" width="34.109375" style="599" customWidth="1"/>
    <col min="4" max="4" width="2.88671875" style="599" customWidth="1"/>
    <col min="5" max="5" width="9.33203125" style="599" customWidth="1"/>
    <col min="6" max="6" width="2.88671875" style="599" customWidth="1"/>
    <col min="7" max="7" width="11.6640625" style="599" customWidth="1"/>
    <col min="8" max="8" width="2.88671875" style="599" customWidth="1"/>
    <col min="9" max="9" width="13" style="599" customWidth="1"/>
    <col min="10" max="10" width="2.88671875" style="599" customWidth="1"/>
    <col min="11" max="11" width="9.33203125" style="599" customWidth="1"/>
    <col min="12" max="12" width="2.88671875" style="599" customWidth="1"/>
    <col min="13" max="13" width="9.33203125" style="599" customWidth="1"/>
    <col min="14" max="14" width="2.88671875" style="599" customWidth="1"/>
    <col min="15" max="15" width="3.88671875" style="599" customWidth="1"/>
    <col min="16" max="248" width="8.6640625" style="599"/>
    <col min="249" max="249" width="4.33203125" style="599" customWidth="1"/>
    <col min="250" max="250" width="2.88671875" style="599" customWidth="1"/>
    <col min="251" max="251" width="34.109375" style="599" customWidth="1"/>
    <col min="252" max="252" width="4.33203125" style="599" customWidth="1"/>
    <col min="253" max="253" width="9.33203125" style="599" customWidth="1"/>
    <col min="254" max="254" width="2.88671875" style="599" customWidth="1"/>
    <col min="255" max="255" width="11.6640625" style="599" customWidth="1"/>
    <col min="256" max="256" width="2.88671875" style="599" customWidth="1"/>
    <col min="257" max="257" width="13" style="599" customWidth="1"/>
    <col min="258" max="258" width="4.33203125" style="599" customWidth="1"/>
    <col min="259" max="259" width="9.33203125" style="599" customWidth="1"/>
    <col min="260" max="260" width="2.88671875" style="599" customWidth="1"/>
    <col min="261" max="261" width="9.33203125" style="599" customWidth="1"/>
    <col min="262" max="262" width="2.88671875" style="599" customWidth="1"/>
    <col min="263" max="263" width="4.33203125" style="599" customWidth="1"/>
    <col min="264" max="264" width="2.88671875" style="599" customWidth="1"/>
    <col min="265" max="265" width="20.6640625" style="599" customWidth="1"/>
    <col min="266" max="266" width="16.44140625" style="599" customWidth="1"/>
    <col min="267" max="504" width="8.6640625" style="599"/>
    <col min="505" max="505" width="4.33203125" style="599" customWidth="1"/>
    <col min="506" max="506" width="2.88671875" style="599" customWidth="1"/>
    <col min="507" max="507" width="34.109375" style="599" customWidth="1"/>
    <col min="508" max="508" width="4.33203125" style="599" customWidth="1"/>
    <col min="509" max="509" width="9.33203125" style="599" customWidth="1"/>
    <col min="510" max="510" width="2.88671875" style="599" customWidth="1"/>
    <col min="511" max="511" width="11.6640625" style="599" customWidth="1"/>
    <col min="512" max="512" width="2.88671875" style="599" customWidth="1"/>
    <col min="513" max="513" width="13" style="599" customWidth="1"/>
    <col min="514" max="514" width="4.33203125" style="599" customWidth="1"/>
    <col min="515" max="515" width="9.33203125" style="599" customWidth="1"/>
    <col min="516" max="516" width="2.88671875" style="599" customWidth="1"/>
    <col min="517" max="517" width="9.33203125" style="599" customWidth="1"/>
    <col min="518" max="518" width="2.88671875" style="599" customWidth="1"/>
    <col min="519" max="519" width="4.33203125" style="599" customWidth="1"/>
    <col min="520" max="520" width="2.88671875" style="599" customWidth="1"/>
    <col min="521" max="521" width="20.6640625" style="599" customWidth="1"/>
    <col min="522" max="522" width="16.44140625" style="599" customWidth="1"/>
    <col min="523" max="760" width="8.6640625" style="599"/>
    <col min="761" max="761" width="4.33203125" style="599" customWidth="1"/>
    <col min="762" max="762" width="2.88671875" style="599" customWidth="1"/>
    <col min="763" max="763" width="34.109375" style="599" customWidth="1"/>
    <col min="764" max="764" width="4.33203125" style="599" customWidth="1"/>
    <col min="765" max="765" width="9.33203125" style="599" customWidth="1"/>
    <col min="766" max="766" width="2.88671875" style="599" customWidth="1"/>
    <col min="767" max="767" width="11.6640625" style="599" customWidth="1"/>
    <col min="768" max="768" width="2.88671875" style="599" customWidth="1"/>
    <col min="769" max="769" width="13" style="599" customWidth="1"/>
    <col min="770" max="770" width="4.33203125" style="599" customWidth="1"/>
    <col min="771" max="771" width="9.33203125" style="599" customWidth="1"/>
    <col min="772" max="772" width="2.88671875" style="599" customWidth="1"/>
    <col min="773" max="773" width="9.33203125" style="599" customWidth="1"/>
    <col min="774" max="774" width="2.88671875" style="599" customWidth="1"/>
    <col min="775" max="775" width="4.33203125" style="599" customWidth="1"/>
    <col min="776" max="776" width="2.88671875" style="599" customWidth="1"/>
    <col min="777" max="777" width="20.6640625" style="599" customWidth="1"/>
    <col min="778" max="778" width="16.44140625" style="599" customWidth="1"/>
    <col min="779" max="1016" width="8.6640625" style="599"/>
    <col min="1017" max="1017" width="4.33203125" style="599" customWidth="1"/>
    <col min="1018" max="1018" width="2.88671875" style="599" customWidth="1"/>
    <col min="1019" max="1019" width="34.109375" style="599" customWidth="1"/>
    <col min="1020" max="1020" width="4.33203125" style="599" customWidth="1"/>
    <col min="1021" max="1021" width="9.33203125" style="599" customWidth="1"/>
    <col min="1022" max="1022" width="2.88671875" style="599" customWidth="1"/>
    <col min="1023" max="1023" width="11.6640625" style="599" customWidth="1"/>
    <col min="1024" max="1024" width="2.88671875" style="599" customWidth="1"/>
    <col min="1025" max="1025" width="13" style="599" customWidth="1"/>
    <col min="1026" max="1026" width="4.33203125" style="599" customWidth="1"/>
    <col min="1027" max="1027" width="9.33203125" style="599" customWidth="1"/>
    <col min="1028" max="1028" width="2.88671875" style="599" customWidth="1"/>
    <col min="1029" max="1029" width="9.33203125" style="599" customWidth="1"/>
    <col min="1030" max="1030" width="2.88671875" style="599" customWidth="1"/>
    <col min="1031" max="1031" width="4.33203125" style="599" customWidth="1"/>
    <col min="1032" max="1032" width="2.88671875" style="599" customWidth="1"/>
    <col min="1033" max="1033" width="20.6640625" style="599" customWidth="1"/>
    <col min="1034" max="1034" width="16.44140625" style="599" customWidth="1"/>
    <col min="1035" max="1272" width="8.6640625" style="599"/>
    <col min="1273" max="1273" width="4.33203125" style="599" customWidth="1"/>
    <col min="1274" max="1274" width="2.88671875" style="599" customWidth="1"/>
    <col min="1275" max="1275" width="34.109375" style="599" customWidth="1"/>
    <col min="1276" max="1276" width="4.33203125" style="599" customWidth="1"/>
    <col min="1277" max="1277" width="9.33203125" style="599" customWidth="1"/>
    <col min="1278" max="1278" width="2.88671875" style="599" customWidth="1"/>
    <col min="1279" max="1279" width="11.6640625" style="599" customWidth="1"/>
    <col min="1280" max="1280" width="2.88671875" style="599" customWidth="1"/>
    <col min="1281" max="1281" width="13" style="599" customWidth="1"/>
    <col min="1282" max="1282" width="4.33203125" style="599" customWidth="1"/>
    <col min="1283" max="1283" width="9.33203125" style="599" customWidth="1"/>
    <col min="1284" max="1284" width="2.88671875" style="599" customWidth="1"/>
    <col min="1285" max="1285" width="9.33203125" style="599" customWidth="1"/>
    <col min="1286" max="1286" width="2.88671875" style="599" customWidth="1"/>
    <col min="1287" max="1287" width="4.33203125" style="599" customWidth="1"/>
    <col min="1288" max="1288" width="2.88671875" style="599" customWidth="1"/>
    <col min="1289" max="1289" width="20.6640625" style="599" customWidth="1"/>
    <col min="1290" max="1290" width="16.44140625" style="599" customWidth="1"/>
    <col min="1291" max="1528" width="8.6640625" style="599"/>
    <col min="1529" max="1529" width="4.33203125" style="599" customWidth="1"/>
    <col min="1530" max="1530" width="2.88671875" style="599" customWidth="1"/>
    <col min="1531" max="1531" width="34.109375" style="599" customWidth="1"/>
    <col min="1532" max="1532" width="4.33203125" style="599" customWidth="1"/>
    <col min="1533" max="1533" width="9.33203125" style="599" customWidth="1"/>
    <col min="1534" max="1534" width="2.88671875" style="599" customWidth="1"/>
    <col min="1535" max="1535" width="11.6640625" style="599" customWidth="1"/>
    <col min="1536" max="1536" width="2.88671875" style="599" customWidth="1"/>
    <col min="1537" max="1537" width="13" style="599" customWidth="1"/>
    <col min="1538" max="1538" width="4.33203125" style="599" customWidth="1"/>
    <col min="1539" max="1539" width="9.33203125" style="599" customWidth="1"/>
    <col min="1540" max="1540" width="2.88671875" style="599" customWidth="1"/>
    <col min="1541" max="1541" width="9.33203125" style="599" customWidth="1"/>
    <col min="1542" max="1542" width="2.88671875" style="599" customWidth="1"/>
    <col min="1543" max="1543" width="4.33203125" style="599" customWidth="1"/>
    <col min="1544" max="1544" width="2.88671875" style="599" customWidth="1"/>
    <col min="1545" max="1545" width="20.6640625" style="599" customWidth="1"/>
    <col min="1546" max="1546" width="16.44140625" style="599" customWidth="1"/>
    <col min="1547" max="1784" width="8.6640625" style="599"/>
    <col min="1785" max="1785" width="4.33203125" style="599" customWidth="1"/>
    <col min="1786" max="1786" width="2.88671875" style="599" customWidth="1"/>
    <col min="1787" max="1787" width="34.109375" style="599" customWidth="1"/>
    <col min="1788" max="1788" width="4.33203125" style="599" customWidth="1"/>
    <col min="1789" max="1789" width="9.33203125" style="599" customWidth="1"/>
    <col min="1790" max="1790" width="2.88671875" style="599" customWidth="1"/>
    <col min="1791" max="1791" width="11.6640625" style="599" customWidth="1"/>
    <col min="1792" max="1792" width="2.88671875" style="599" customWidth="1"/>
    <col min="1793" max="1793" width="13" style="599" customWidth="1"/>
    <col min="1794" max="1794" width="4.33203125" style="599" customWidth="1"/>
    <col min="1795" max="1795" width="9.33203125" style="599" customWidth="1"/>
    <col min="1796" max="1796" width="2.88671875" style="599" customWidth="1"/>
    <col min="1797" max="1797" width="9.33203125" style="599" customWidth="1"/>
    <col min="1798" max="1798" width="2.88671875" style="599" customWidth="1"/>
    <col min="1799" max="1799" width="4.33203125" style="599" customWidth="1"/>
    <col min="1800" max="1800" width="2.88671875" style="599" customWidth="1"/>
    <col min="1801" max="1801" width="20.6640625" style="599" customWidth="1"/>
    <col min="1802" max="1802" width="16.44140625" style="599" customWidth="1"/>
    <col min="1803" max="2040" width="8.6640625" style="599"/>
    <col min="2041" max="2041" width="4.33203125" style="599" customWidth="1"/>
    <col min="2042" max="2042" width="2.88671875" style="599" customWidth="1"/>
    <col min="2043" max="2043" width="34.109375" style="599" customWidth="1"/>
    <col min="2044" max="2044" width="4.33203125" style="599" customWidth="1"/>
    <col min="2045" max="2045" width="9.33203125" style="599" customWidth="1"/>
    <col min="2046" max="2046" width="2.88671875" style="599" customWidth="1"/>
    <col min="2047" max="2047" width="11.6640625" style="599" customWidth="1"/>
    <col min="2048" max="2048" width="2.88671875" style="599" customWidth="1"/>
    <col min="2049" max="2049" width="13" style="599" customWidth="1"/>
    <col min="2050" max="2050" width="4.33203125" style="599" customWidth="1"/>
    <col min="2051" max="2051" width="9.33203125" style="599" customWidth="1"/>
    <col min="2052" max="2052" width="2.88671875" style="599" customWidth="1"/>
    <col min="2053" max="2053" width="9.33203125" style="599" customWidth="1"/>
    <col min="2054" max="2054" width="2.88671875" style="599" customWidth="1"/>
    <col min="2055" max="2055" width="4.33203125" style="599" customWidth="1"/>
    <col min="2056" max="2056" width="2.88671875" style="599" customWidth="1"/>
    <col min="2057" max="2057" width="20.6640625" style="599" customWidth="1"/>
    <col min="2058" max="2058" width="16.44140625" style="599" customWidth="1"/>
    <col min="2059" max="2296" width="8.6640625" style="599"/>
    <col min="2297" max="2297" width="4.33203125" style="599" customWidth="1"/>
    <col min="2298" max="2298" width="2.88671875" style="599" customWidth="1"/>
    <col min="2299" max="2299" width="34.109375" style="599" customWidth="1"/>
    <col min="2300" max="2300" width="4.33203125" style="599" customWidth="1"/>
    <col min="2301" max="2301" width="9.33203125" style="599" customWidth="1"/>
    <col min="2302" max="2302" width="2.88671875" style="599" customWidth="1"/>
    <col min="2303" max="2303" width="11.6640625" style="599" customWidth="1"/>
    <col min="2304" max="2304" width="2.88671875" style="599" customWidth="1"/>
    <col min="2305" max="2305" width="13" style="599" customWidth="1"/>
    <col min="2306" max="2306" width="4.33203125" style="599" customWidth="1"/>
    <col min="2307" max="2307" width="9.33203125" style="599" customWidth="1"/>
    <col min="2308" max="2308" width="2.88671875" style="599" customWidth="1"/>
    <col min="2309" max="2309" width="9.33203125" style="599" customWidth="1"/>
    <col min="2310" max="2310" width="2.88671875" style="599" customWidth="1"/>
    <col min="2311" max="2311" width="4.33203125" style="599" customWidth="1"/>
    <col min="2312" max="2312" width="2.88671875" style="599" customWidth="1"/>
    <col min="2313" max="2313" width="20.6640625" style="599" customWidth="1"/>
    <col min="2314" max="2314" width="16.44140625" style="599" customWidth="1"/>
    <col min="2315" max="2552" width="8.6640625" style="599"/>
    <col min="2553" max="2553" width="4.33203125" style="599" customWidth="1"/>
    <col min="2554" max="2554" width="2.88671875" style="599" customWidth="1"/>
    <col min="2555" max="2555" width="34.109375" style="599" customWidth="1"/>
    <col min="2556" max="2556" width="4.33203125" style="599" customWidth="1"/>
    <col min="2557" max="2557" width="9.33203125" style="599" customWidth="1"/>
    <col min="2558" max="2558" width="2.88671875" style="599" customWidth="1"/>
    <col min="2559" max="2559" width="11.6640625" style="599" customWidth="1"/>
    <col min="2560" max="2560" width="2.88671875" style="599" customWidth="1"/>
    <col min="2561" max="2561" width="13" style="599" customWidth="1"/>
    <col min="2562" max="2562" width="4.33203125" style="599" customWidth="1"/>
    <col min="2563" max="2563" width="9.33203125" style="599" customWidth="1"/>
    <col min="2564" max="2564" width="2.88671875" style="599" customWidth="1"/>
    <col min="2565" max="2565" width="9.33203125" style="599" customWidth="1"/>
    <col min="2566" max="2566" width="2.88671875" style="599" customWidth="1"/>
    <col min="2567" max="2567" width="4.33203125" style="599" customWidth="1"/>
    <col min="2568" max="2568" width="2.88671875" style="599" customWidth="1"/>
    <col min="2569" max="2569" width="20.6640625" style="599" customWidth="1"/>
    <col min="2570" max="2570" width="16.44140625" style="599" customWidth="1"/>
    <col min="2571" max="2808" width="8.6640625" style="599"/>
    <col min="2809" max="2809" width="4.33203125" style="599" customWidth="1"/>
    <col min="2810" max="2810" width="2.88671875" style="599" customWidth="1"/>
    <col min="2811" max="2811" width="34.109375" style="599" customWidth="1"/>
    <col min="2812" max="2812" width="4.33203125" style="599" customWidth="1"/>
    <col min="2813" max="2813" width="9.33203125" style="599" customWidth="1"/>
    <col min="2814" max="2814" width="2.88671875" style="599" customWidth="1"/>
    <col min="2815" max="2815" width="11.6640625" style="599" customWidth="1"/>
    <col min="2816" max="2816" width="2.88671875" style="599" customWidth="1"/>
    <col min="2817" max="2817" width="13" style="599" customWidth="1"/>
    <col min="2818" max="2818" width="4.33203125" style="599" customWidth="1"/>
    <col min="2819" max="2819" width="9.33203125" style="599" customWidth="1"/>
    <col min="2820" max="2820" width="2.88671875" style="599" customWidth="1"/>
    <col min="2821" max="2821" width="9.33203125" style="599" customWidth="1"/>
    <col min="2822" max="2822" width="2.88671875" style="599" customWidth="1"/>
    <col min="2823" max="2823" width="4.33203125" style="599" customWidth="1"/>
    <col min="2824" max="2824" width="2.88671875" style="599" customWidth="1"/>
    <col min="2825" max="2825" width="20.6640625" style="599" customWidth="1"/>
    <col min="2826" max="2826" width="16.44140625" style="599" customWidth="1"/>
    <col min="2827" max="3064" width="8.6640625" style="599"/>
    <col min="3065" max="3065" width="4.33203125" style="599" customWidth="1"/>
    <col min="3066" max="3066" width="2.88671875" style="599" customWidth="1"/>
    <col min="3067" max="3067" width="34.109375" style="599" customWidth="1"/>
    <col min="3068" max="3068" width="4.33203125" style="599" customWidth="1"/>
    <col min="3069" max="3069" width="9.33203125" style="599" customWidth="1"/>
    <col min="3070" max="3070" width="2.88671875" style="599" customWidth="1"/>
    <col min="3071" max="3071" width="11.6640625" style="599" customWidth="1"/>
    <col min="3072" max="3072" width="2.88671875" style="599" customWidth="1"/>
    <col min="3073" max="3073" width="13" style="599" customWidth="1"/>
    <col min="3074" max="3074" width="4.33203125" style="599" customWidth="1"/>
    <col min="3075" max="3075" width="9.33203125" style="599" customWidth="1"/>
    <col min="3076" max="3076" width="2.88671875" style="599" customWidth="1"/>
    <col min="3077" max="3077" width="9.33203125" style="599" customWidth="1"/>
    <col min="3078" max="3078" width="2.88671875" style="599" customWidth="1"/>
    <col min="3079" max="3079" width="4.33203125" style="599" customWidth="1"/>
    <col min="3080" max="3080" width="2.88671875" style="599" customWidth="1"/>
    <col min="3081" max="3081" width="20.6640625" style="599" customWidth="1"/>
    <col min="3082" max="3082" width="16.44140625" style="599" customWidth="1"/>
    <col min="3083" max="3320" width="8.6640625" style="599"/>
    <col min="3321" max="3321" width="4.33203125" style="599" customWidth="1"/>
    <col min="3322" max="3322" width="2.88671875" style="599" customWidth="1"/>
    <col min="3323" max="3323" width="34.109375" style="599" customWidth="1"/>
    <col min="3324" max="3324" width="4.33203125" style="599" customWidth="1"/>
    <col min="3325" max="3325" width="9.33203125" style="599" customWidth="1"/>
    <col min="3326" max="3326" width="2.88671875" style="599" customWidth="1"/>
    <col min="3327" max="3327" width="11.6640625" style="599" customWidth="1"/>
    <col min="3328" max="3328" width="2.88671875" style="599" customWidth="1"/>
    <col min="3329" max="3329" width="13" style="599" customWidth="1"/>
    <col min="3330" max="3330" width="4.33203125" style="599" customWidth="1"/>
    <col min="3331" max="3331" width="9.33203125" style="599" customWidth="1"/>
    <col min="3332" max="3332" width="2.88671875" style="599" customWidth="1"/>
    <col min="3333" max="3333" width="9.33203125" style="599" customWidth="1"/>
    <col min="3334" max="3334" width="2.88671875" style="599" customWidth="1"/>
    <col min="3335" max="3335" width="4.33203125" style="599" customWidth="1"/>
    <col min="3336" max="3336" width="2.88671875" style="599" customWidth="1"/>
    <col min="3337" max="3337" width="20.6640625" style="599" customWidth="1"/>
    <col min="3338" max="3338" width="16.44140625" style="599" customWidth="1"/>
    <col min="3339" max="3576" width="8.6640625" style="599"/>
    <col min="3577" max="3577" width="4.33203125" style="599" customWidth="1"/>
    <col min="3578" max="3578" width="2.88671875" style="599" customWidth="1"/>
    <col min="3579" max="3579" width="34.109375" style="599" customWidth="1"/>
    <col min="3580" max="3580" width="4.33203125" style="599" customWidth="1"/>
    <col min="3581" max="3581" width="9.33203125" style="599" customWidth="1"/>
    <col min="3582" max="3582" width="2.88671875" style="599" customWidth="1"/>
    <col min="3583" max="3583" width="11.6640625" style="599" customWidth="1"/>
    <col min="3584" max="3584" width="2.88671875" style="599" customWidth="1"/>
    <col min="3585" max="3585" width="13" style="599" customWidth="1"/>
    <col min="3586" max="3586" width="4.33203125" style="599" customWidth="1"/>
    <col min="3587" max="3587" width="9.33203125" style="599" customWidth="1"/>
    <col min="3588" max="3588" width="2.88671875" style="599" customWidth="1"/>
    <col min="3589" max="3589" width="9.33203125" style="599" customWidth="1"/>
    <col min="3590" max="3590" width="2.88671875" style="599" customWidth="1"/>
    <col min="3591" max="3591" width="4.33203125" style="599" customWidth="1"/>
    <col min="3592" max="3592" width="2.88671875" style="599" customWidth="1"/>
    <col min="3593" max="3593" width="20.6640625" style="599" customWidth="1"/>
    <col min="3594" max="3594" width="16.44140625" style="599" customWidth="1"/>
    <col min="3595" max="3832" width="8.6640625" style="599"/>
    <col min="3833" max="3833" width="4.33203125" style="599" customWidth="1"/>
    <col min="3834" max="3834" width="2.88671875" style="599" customWidth="1"/>
    <col min="3835" max="3835" width="34.109375" style="599" customWidth="1"/>
    <col min="3836" max="3836" width="4.33203125" style="599" customWidth="1"/>
    <col min="3837" max="3837" width="9.33203125" style="599" customWidth="1"/>
    <col min="3838" max="3838" width="2.88671875" style="599" customWidth="1"/>
    <col min="3839" max="3839" width="11.6640625" style="599" customWidth="1"/>
    <col min="3840" max="3840" width="2.88671875" style="599" customWidth="1"/>
    <col min="3841" max="3841" width="13" style="599" customWidth="1"/>
    <col min="3842" max="3842" width="4.33203125" style="599" customWidth="1"/>
    <col min="3843" max="3843" width="9.33203125" style="599" customWidth="1"/>
    <col min="3844" max="3844" width="2.88671875" style="599" customWidth="1"/>
    <col min="3845" max="3845" width="9.33203125" style="599" customWidth="1"/>
    <col min="3846" max="3846" width="2.88671875" style="599" customWidth="1"/>
    <col min="3847" max="3847" width="4.33203125" style="599" customWidth="1"/>
    <col min="3848" max="3848" width="2.88671875" style="599" customWidth="1"/>
    <col min="3849" max="3849" width="20.6640625" style="599" customWidth="1"/>
    <col min="3850" max="3850" width="16.44140625" style="599" customWidth="1"/>
    <col min="3851" max="4088" width="8.6640625" style="599"/>
    <col min="4089" max="4089" width="4.33203125" style="599" customWidth="1"/>
    <col min="4090" max="4090" width="2.88671875" style="599" customWidth="1"/>
    <col min="4091" max="4091" width="34.109375" style="599" customWidth="1"/>
    <col min="4092" max="4092" width="4.33203125" style="599" customWidth="1"/>
    <col min="4093" max="4093" width="9.33203125" style="599" customWidth="1"/>
    <col min="4094" max="4094" width="2.88671875" style="599" customWidth="1"/>
    <col min="4095" max="4095" width="11.6640625" style="599" customWidth="1"/>
    <col min="4096" max="4096" width="2.88671875" style="599" customWidth="1"/>
    <col min="4097" max="4097" width="13" style="599" customWidth="1"/>
    <col min="4098" max="4098" width="4.33203125" style="599" customWidth="1"/>
    <col min="4099" max="4099" width="9.33203125" style="599" customWidth="1"/>
    <col min="4100" max="4100" width="2.88671875" style="599" customWidth="1"/>
    <col min="4101" max="4101" width="9.33203125" style="599" customWidth="1"/>
    <col min="4102" max="4102" width="2.88671875" style="599" customWidth="1"/>
    <col min="4103" max="4103" width="4.33203125" style="599" customWidth="1"/>
    <col min="4104" max="4104" width="2.88671875" style="599" customWidth="1"/>
    <col min="4105" max="4105" width="20.6640625" style="599" customWidth="1"/>
    <col min="4106" max="4106" width="16.44140625" style="599" customWidth="1"/>
    <col min="4107" max="4344" width="8.6640625" style="599"/>
    <col min="4345" max="4345" width="4.33203125" style="599" customWidth="1"/>
    <col min="4346" max="4346" width="2.88671875" style="599" customWidth="1"/>
    <col min="4347" max="4347" width="34.109375" style="599" customWidth="1"/>
    <col min="4348" max="4348" width="4.33203125" style="599" customWidth="1"/>
    <col min="4349" max="4349" width="9.33203125" style="599" customWidth="1"/>
    <col min="4350" max="4350" width="2.88671875" style="599" customWidth="1"/>
    <col min="4351" max="4351" width="11.6640625" style="599" customWidth="1"/>
    <col min="4352" max="4352" width="2.88671875" style="599" customWidth="1"/>
    <col min="4353" max="4353" width="13" style="599" customWidth="1"/>
    <col min="4354" max="4354" width="4.33203125" style="599" customWidth="1"/>
    <col min="4355" max="4355" width="9.33203125" style="599" customWidth="1"/>
    <col min="4356" max="4356" width="2.88671875" style="599" customWidth="1"/>
    <col min="4357" max="4357" width="9.33203125" style="599" customWidth="1"/>
    <col min="4358" max="4358" width="2.88671875" style="599" customWidth="1"/>
    <col min="4359" max="4359" width="4.33203125" style="599" customWidth="1"/>
    <col min="4360" max="4360" width="2.88671875" style="599" customWidth="1"/>
    <col min="4361" max="4361" width="20.6640625" style="599" customWidth="1"/>
    <col min="4362" max="4362" width="16.44140625" style="599" customWidth="1"/>
    <col min="4363" max="4600" width="8.6640625" style="599"/>
    <col min="4601" max="4601" width="4.33203125" style="599" customWidth="1"/>
    <col min="4602" max="4602" width="2.88671875" style="599" customWidth="1"/>
    <col min="4603" max="4603" width="34.109375" style="599" customWidth="1"/>
    <col min="4604" max="4604" width="4.33203125" style="599" customWidth="1"/>
    <col min="4605" max="4605" width="9.33203125" style="599" customWidth="1"/>
    <col min="4606" max="4606" width="2.88671875" style="599" customWidth="1"/>
    <col min="4607" max="4607" width="11.6640625" style="599" customWidth="1"/>
    <col min="4608" max="4608" width="2.88671875" style="599" customWidth="1"/>
    <col min="4609" max="4609" width="13" style="599" customWidth="1"/>
    <col min="4610" max="4610" width="4.33203125" style="599" customWidth="1"/>
    <col min="4611" max="4611" width="9.33203125" style="599" customWidth="1"/>
    <col min="4612" max="4612" width="2.88671875" style="599" customWidth="1"/>
    <col min="4613" max="4613" width="9.33203125" style="599" customWidth="1"/>
    <col min="4614" max="4614" width="2.88671875" style="599" customWidth="1"/>
    <col min="4615" max="4615" width="4.33203125" style="599" customWidth="1"/>
    <col min="4616" max="4616" width="2.88671875" style="599" customWidth="1"/>
    <col min="4617" max="4617" width="20.6640625" style="599" customWidth="1"/>
    <col min="4618" max="4618" width="16.44140625" style="599" customWidth="1"/>
    <col min="4619" max="4856" width="8.6640625" style="599"/>
    <col min="4857" max="4857" width="4.33203125" style="599" customWidth="1"/>
    <col min="4858" max="4858" width="2.88671875" style="599" customWidth="1"/>
    <col min="4859" max="4859" width="34.109375" style="599" customWidth="1"/>
    <col min="4860" max="4860" width="4.33203125" style="599" customWidth="1"/>
    <col min="4861" max="4861" width="9.33203125" style="599" customWidth="1"/>
    <col min="4862" max="4862" width="2.88671875" style="599" customWidth="1"/>
    <col min="4863" max="4863" width="11.6640625" style="599" customWidth="1"/>
    <col min="4864" max="4864" width="2.88671875" style="599" customWidth="1"/>
    <col min="4865" max="4865" width="13" style="599" customWidth="1"/>
    <col min="4866" max="4866" width="4.33203125" style="599" customWidth="1"/>
    <col min="4867" max="4867" width="9.33203125" style="599" customWidth="1"/>
    <col min="4868" max="4868" width="2.88671875" style="599" customWidth="1"/>
    <col min="4869" max="4869" width="9.33203125" style="599" customWidth="1"/>
    <col min="4870" max="4870" width="2.88671875" style="599" customWidth="1"/>
    <col min="4871" max="4871" width="4.33203125" style="599" customWidth="1"/>
    <col min="4872" max="4872" width="2.88671875" style="599" customWidth="1"/>
    <col min="4873" max="4873" width="20.6640625" style="599" customWidth="1"/>
    <col min="4874" max="4874" width="16.44140625" style="599" customWidth="1"/>
    <col min="4875" max="5112" width="8.6640625" style="599"/>
    <col min="5113" max="5113" width="4.33203125" style="599" customWidth="1"/>
    <col min="5114" max="5114" width="2.88671875" style="599" customWidth="1"/>
    <col min="5115" max="5115" width="34.109375" style="599" customWidth="1"/>
    <col min="5116" max="5116" width="4.33203125" style="599" customWidth="1"/>
    <col min="5117" max="5117" width="9.33203125" style="599" customWidth="1"/>
    <col min="5118" max="5118" width="2.88671875" style="599" customWidth="1"/>
    <col min="5119" max="5119" width="11.6640625" style="599" customWidth="1"/>
    <col min="5120" max="5120" width="2.88671875" style="599" customWidth="1"/>
    <col min="5121" max="5121" width="13" style="599" customWidth="1"/>
    <col min="5122" max="5122" width="4.33203125" style="599" customWidth="1"/>
    <col min="5123" max="5123" width="9.33203125" style="599" customWidth="1"/>
    <col min="5124" max="5124" width="2.88671875" style="599" customWidth="1"/>
    <col min="5125" max="5125" width="9.33203125" style="599" customWidth="1"/>
    <col min="5126" max="5126" width="2.88671875" style="599" customWidth="1"/>
    <col min="5127" max="5127" width="4.33203125" style="599" customWidth="1"/>
    <col min="5128" max="5128" width="2.88671875" style="599" customWidth="1"/>
    <col min="5129" max="5129" width="20.6640625" style="599" customWidth="1"/>
    <col min="5130" max="5130" width="16.44140625" style="599" customWidth="1"/>
    <col min="5131" max="5368" width="8.6640625" style="599"/>
    <col min="5369" max="5369" width="4.33203125" style="599" customWidth="1"/>
    <col min="5370" max="5370" width="2.88671875" style="599" customWidth="1"/>
    <col min="5371" max="5371" width="34.109375" style="599" customWidth="1"/>
    <col min="5372" max="5372" width="4.33203125" style="599" customWidth="1"/>
    <col min="5373" max="5373" width="9.33203125" style="599" customWidth="1"/>
    <col min="5374" max="5374" width="2.88671875" style="599" customWidth="1"/>
    <col min="5375" max="5375" width="11.6640625" style="599" customWidth="1"/>
    <col min="5376" max="5376" width="2.88671875" style="599" customWidth="1"/>
    <col min="5377" max="5377" width="13" style="599" customWidth="1"/>
    <col min="5378" max="5378" width="4.33203125" style="599" customWidth="1"/>
    <col min="5379" max="5379" width="9.33203125" style="599" customWidth="1"/>
    <col min="5380" max="5380" width="2.88671875" style="599" customWidth="1"/>
    <col min="5381" max="5381" width="9.33203125" style="599" customWidth="1"/>
    <col min="5382" max="5382" width="2.88671875" style="599" customWidth="1"/>
    <col min="5383" max="5383" width="4.33203125" style="599" customWidth="1"/>
    <col min="5384" max="5384" width="2.88671875" style="599" customWidth="1"/>
    <col min="5385" max="5385" width="20.6640625" style="599" customWidth="1"/>
    <col min="5386" max="5386" width="16.44140625" style="599" customWidth="1"/>
    <col min="5387" max="5624" width="8.6640625" style="599"/>
    <col min="5625" max="5625" width="4.33203125" style="599" customWidth="1"/>
    <col min="5626" max="5626" width="2.88671875" style="599" customWidth="1"/>
    <col min="5627" max="5627" width="34.109375" style="599" customWidth="1"/>
    <col min="5628" max="5628" width="4.33203125" style="599" customWidth="1"/>
    <col min="5629" max="5629" width="9.33203125" style="599" customWidth="1"/>
    <col min="5630" max="5630" width="2.88671875" style="599" customWidth="1"/>
    <col min="5631" max="5631" width="11.6640625" style="599" customWidth="1"/>
    <col min="5632" max="5632" width="2.88671875" style="599" customWidth="1"/>
    <col min="5633" max="5633" width="13" style="599" customWidth="1"/>
    <col min="5634" max="5634" width="4.33203125" style="599" customWidth="1"/>
    <col min="5635" max="5635" width="9.33203125" style="599" customWidth="1"/>
    <col min="5636" max="5636" width="2.88671875" style="599" customWidth="1"/>
    <col min="5637" max="5637" width="9.33203125" style="599" customWidth="1"/>
    <col min="5638" max="5638" width="2.88671875" style="599" customWidth="1"/>
    <col min="5639" max="5639" width="4.33203125" style="599" customWidth="1"/>
    <col min="5640" max="5640" width="2.88671875" style="599" customWidth="1"/>
    <col min="5641" max="5641" width="20.6640625" style="599" customWidth="1"/>
    <col min="5642" max="5642" width="16.44140625" style="599" customWidth="1"/>
    <col min="5643" max="5880" width="8.6640625" style="599"/>
    <col min="5881" max="5881" width="4.33203125" style="599" customWidth="1"/>
    <col min="5882" max="5882" width="2.88671875" style="599" customWidth="1"/>
    <col min="5883" max="5883" width="34.109375" style="599" customWidth="1"/>
    <col min="5884" max="5884" width="4.33203125" style="599" customWidth="1"/>
    <col min="5885" max="5885" width="9.33203125" style="599" customWidth="1"/>
    <col min="5886" max="5886" width="2.88671875" style="599" customWidth="1"/>
    <col min="5887" max="5887" width="11.6640625" style="599" customWidth="1"/>
    <col min="5888" max="5888" width="2.88671875" style="599" customWidth="1"/>
    <col min="5889" max="5889" width="13" style="599" customWidth="1"/>
    <col min="5890" max="5890" width="4.33203125" style="599" customWidth="1"/>
    <col min="5891" max="5891" width="9.33203125" style="599" customWidth="1"/>
    <col min="5892" max="5892" width="2.88671875" style="599" customWidth="1"/>
    <col min="5893" max="5893" width="9.33203125" style="599" customWidth="1"/>
    <col min="5894" max="5894" width="2.88671875" style="599" customWidth="1"/>
    <col min="5895" max="5895" width="4.33203125" style="599" customWidth="1"/>
    <col min="5896" max="5896" width="2.88671875" style="599" customWidth="1"/>
    <col min="5897" max="5897" width="20.6640625" style="599" customWidth="1"/>
    <col min="5898" max="5898" width="16.44140625" style="599" customWidth="1"/>
    <col min="5899" max="6136" width="8.6640625" style="599"/>
    <col min="6137" max="6137" width="4.33203125" style="599" customWidth="1"/>
    <col min="6138" max="6138" width="2.88671875" style="599" customWidth="1"/>
    <col min="6139" max="6139" width="34.109375" style="599" customWidth="1"/>
    <col min="6140" max="6140" width="4.33203125" style="599" customWidth="1"/>
    <col min="6141" max="6141" width="9.33203125" style="599" customWidth="1"/>
    <col min="6142" max="6142" width="2.88671875" style="599" customWidth="1"/>
    <col min="6143" max="6143" width="11.6640625" style="599" customWidth="1"/>
    <col min="6144" max="6144" width="2.88671875" style="599" customWidth="1"/>
    <col min="6145" max="6145" width="13" style="599" customWidth="1"/>
    <col min="6146" max="6146" width="4.33203125" style="599" customWidth="1"/>
    <col min="6147" max="6147" width="9.33203125" style="599" customWidth="1"/>
    <col min="6148" max="6148" width="2.88671875" style="599" customWidth="1"/>
    <col min="6149" max="6149" width="9.33203125" style="599" customWidth="1"/>
    <col min="6150" max="6150" width="2.88671875" style="599" customWidth="1"/>
    <col min="6151" max="6151" width="4.33203125" style="599" customWidth="1"/>
    <col min="6152" max="6152" width="2.88671875" style="599" customWidth="1"/>
    <col min="6153" max="6153" width="20.6640625" style="599" customWidth="1"/>
    <col min="6154" max="6154" width="16.44140625" style="599" customWidth="1"/>
    <col min="6155" max="6392" width="8.6640625" style="599"/>
    <col min="6393" max="6393" width="4.33203125" style="599" customWidth="1"/>
    <col min="6394" max="6394" width="2.88671875" style="599" customWidth="1"/>
    <col min="6395" max="6395" width="34.109375" style="599" customWidth="1"/>
    <col min="6396" max="6396" width="4.33203125" style="599" customWidth="1"/>
    <col min="6397" max="6397" width="9.33203125" style="599" customWidth="1"/>
    <col min="6398" max="6398" width="2.88671875" style="599" customWidth="1"/>
    <col min="6399" max="6399" width="11.6640625" style="599" customWidth="1"/>
    <col min="6400" max="6400" width="2.88671875" style="599" customWidth="1"/>
    <col min="6401" max="6401" width="13" style="599" customWidth="1"/>
    <col min="6402" max="6402" width="4.33203125" style="599" customWidth="1"/>
    <col min="6403" max="6403" width="9.33203125" style="599" customWidth="1"/>
    <col min="6404" max="6404" width="2.88671875" style="599" customWidth="1"/>
    <col min="6405" max="6405" width="9.33203125" style="599" customWidth="1"/>
    <col min="6406" max="6406" width="2.88671875" style="599" customWidth="1"/>
    <col min="6407" max="6407" width="4.33203125" style="599" customWidth="1"/>
    <col min="6408" max="6408" width="2.88671875" style="599" customWidth="1"/>
    <col min="6409" max="6409" width="20.6640625" style="599" customWidth="1"/>
    <col min="6410" max="6410" width="16.44140625" style="599" customWidth="1"/>
    <col min="6411" max="6648" width="8.6640625" style="599"/>
    <col min="6649" max="6649" width="4.33203125" style="599" customWidth="1"/>
    <col min="6650" max="6650" width="2.88671875" style="599" customWidth="1"/>
    <col min="6651" max="6651" width="34.109375" style="599" customWidth="1"/>
    <col min="6652" max="6652" width="4.33203125" style="599" customWidth="1"/>
    <col min="6653" max="6653" width="9.33203125" style="599" customWidth="1"/>
    <col min="6654" max="6654" width="2.88671875" style="599" customWidth="1"/>
    <col min="6655" max="6655" width="11.6640625" style="599" customWidth="1"/>
    <col min="6656" max="6656" width="2.88671875" style="599" customWidth="1"/>
    <col min="6657" max="6657" width="13" style="599" customWidth="1"/>
    <col min="6658" max="6658" width="4.33203125" style="599" customWidth="1"/>
    <col min="6659" max="6659" width="9.33203125" style="599" customWidth="1"/>
    <col min="6660" max="6660" width="2.88671875" style="599" customWidth="1"/>
    <col min="6661" max="6661" width="9.33203125" style="599" customWidth="1"/>
    <col min="6662" max="6662" width="2.88671875" style="599" customWidth="1"/>
    <col min="6663" max="6663" width="4.33203125" style="599" customWidth="1"/>
    <col min="6664" max="6664" width="2.88671875" style="599" customWidth="1"/>
    <col min="6665" max="6665" width="20.6640625" style="599" customWidth="1"/>
    <col min="6666" max="6666" width="16.44140625" style="599" customWidth="1"/>
    <col min="6667" max="6904" width="8.6640625" style="599"/>
    <col min="6905" max="6905" width="4.33203125" style="599" customWidth="1"/>
    <col min="6906" max="6906" width="2.88671875" style="599" customWidth="1"/>
    <col min="6907" max="6907" width="34.109375" style="599" customWidth="1"/>
    <col min="6908" max="6908" width="4.33203125" style="599" customWidth="1"/>
    <col min="6909" max="6909" width="9.33203125" style="599" customWidth="1"/>
    <col min="6910" max="6910" width="2.88671875" style="599" customWidth="1"/>
    <col min="6911" max="6911" width="11.6640625" style="599" customWidth="1"/>
    <col min="6912" max="6912" width="2.88671875" style="599" customWidth="1"/>
    <col min="6913" max="6913" width="13" style="599" customWidth="1"/>
    <col min="6914" max="6914" width="4.33203125" style="599" customWidth="1"/>
    <col min="6915" max="6915" width="9.33203125" style="599" customWidth="1"/>
    <col min="6916" max="6916" width="2.88671875" style="599" customWidth="1"/>
    <col min="6917" max="6917" width="9.33203125" style="599" customWidth="1"/>
    <col min="6918" max="6918" width="2.88671875" style="599" customWidth="1"/>
    <col min="6919" max="6919" width="4.33203125" style="599" customWidth="1"/>
    <col min="6920" max="6920" width="2.88671875" style="599" customWidth="1"/>
    <col min="6921" max="6921" width="20.6640625" style="599" customWidth="1"/>
    <col min="6922" max="6922" width="16.44140625" style="599" customWidth="1"/>
    <col min="6923" max="7160" width="8.6640625" style="599"/>
    <col min="7161" max="7161" width="4.33203125" style="599" customWidth="1"/>
    <col min="7162" max="7162" width="2.88671875" style="599" customWidth="1"/>
    <col min="7163" max="7163" width="34.109375" style="599" customWidth="1"/>
    <col min="7164" max="7164" width="4.33203125" style="599" customWidth="1"/>
    <col min="7165" max="7165" width="9.33203125" style="599" customWidth="1"/>
    <col min="7166" max="7166" width="2.88671875" style="599" customWidth="1"/>
    <col min="7167" max="7167" width="11.6640625" style="599" customWidth="1"/>
    <col min="7168" max="7168" width="2.88671875" style="599" customWidth="1"/>
    <col min="7169" max="7169" width="13" style="599" customWidth="1"/>
    <col min="7170" max="7170" width="4.33203125" style="599" customWidth="1"/>
    <col min="7171" max="7171" width="9.33203125" style="599" customWidth="1"/>
    <col min="7172" max="7172" width="2.88671875" style="599" customWidth="1"/>
    <col min="7173" max="7173" width="9.33203125" style="599" customWidth="1"/>
    <col min="7174" max="7174" width="2.88671875" style="599" customWidth="1"/>
    <col min="7175" max="7175" width="4.33203125" style="599" customWidth="1"/>
    <col min="7176" max="7176" width="2.88671875" style="599" customWidth="1"/>
    <col min="7177" max="7177" width="20.6640625" style="599" customWidth="1"/>
    <col min="7178" max="7178" width="16.44140625" style="599" customWidth="1"/>
    <col min="7179" max="7416" width="8.6640625" style="599"/>
    <col min="7417" max="7417" width="4.33203125" style="599" customWidth="1"/>
    <col min="7418" max="7418" width="2.88671875" style="599" customWidth="1"/>
    <col min="7419" max="7419" width="34.109375" style="599" customWidth="1"/>
    <col min="7420" max="7420" width="4.33203125" style="599" customWidth="1"/>
    <col min="7421" max="7421" width="9.33203125" style="599" customWidth="1"/>
    <col min="7422" max="7422" width="2.88671875" style="599" customWidth="1"/>
    <col min="7423" max="7423" width="11.6640625" style="599" customWidth="1"/>
    <col min="7424" max="7424" width="2.88671875" style="599" customWidth="1"/>
    <col min="7425" max="7425" width="13" style="599" customWidth="1"/>
    <col min="7426" max="7426" width="4.33203125" style="599" customWidth="1"/>
    <col min="7427" max="7427" width="9.33203125" style="599" customWidth="1"/>
    <col min="7428" max="7428" width="2.88671875" style="599" customWidth="1"/>
    <col min="7429" max="7429" width="9.33203125" style="599" customWidth="1"/>
    <col min="7430" max="7430" width="2.88671875" style="599" customWidth="1"/>
    <col min="7431" max="7431" width="4.33203125" style="599" customWidth="1"/>
    <col min="7432" max="7432" width="2.88671875" style="599" customWidth="1"/>
    <col min="7433" max="7433" width="20.6640625" style="599" customWidth="1"/>
    <col min="7434" max="7434" width="16.44140625" style="599" customWidth="1"/>
    <col min="7435" max="7672" width="8.6640625" style="599"/>
    <col min="7673" max="7673" width="4.33203125" style="599" customWidth="1"/>
    <col min="7674" max="7674" width="2.88671875" style="599" customWidth="1"/>
    <col min="7675" max="7675" width="34.109375" style="599" customWidth="1"/>
    <col min="7676" max="7676" width="4.33203125" style="599" customWidth="1"/>
    <col min="7677" max="7677" width="9.33203125" style="599" customWidth="1"/>
    <col min="7678" max="7678" width="2.88671875" style="599" customWidth="1"/>
    <col min="7679" max="7679" width="11.6640625" style="599" customWidth="1"/>
    <col min="7680" max="7680" width="2.88671875" style="599" customWidth="1"/>
    <col min="7681" max="7681" width="13" style="599" customWidth="1"/>
    <col min="7682" max="7682" width="4.33203125" style="599" customWidth="1"/>
    <col min="7683" max="7683" width="9.33203125" style="599" customWidth="1"/>
    <col min="7684" max="7684" width="2.88671875" style="599" customWidth="1"/>
    <col min="7685" max="7685" width="9.33203125" style="599" customWidth="1"/>
    <col min="7686" max="7686" width="2.88671875" style="599" customWidth="1"/>
    <col min="7687" max="7687" width="4.33203125" style="599" customWidth="1"/>
    <col min="7688" max="7688" width="2.88671875" style="599" customWidth="1"/>
    <col min="7689" max="7689" width="20.6640625" style="599" customWidth="1"/>
    <col min="7690" max="7690" width="16.44140625" style="599" customWidth="1"/>
    <col min="7691" max="7928" width="8.6640625" style="599"/>
    <col min="7929" max="7929" width="4.33203125" style="599" customWidth="1"/>
    <col min="7930" max="7930" width="2.88671875" style="599" customWidth="1"/>
    <col min="7931" max="7931" width="34.109375" style="599" customWidth="1"/>
    <col min="7932" max="7932" width="4.33203125" style="599" customWidth="1"/>
    <col min="7933" max="7933" width="9.33203125" style="599" customWidth="1"/>
    <col min="7934" max="7934" width="2.88671875" style="599" customWidth="1"/>
    <col min="7935" max="7935" width="11.6640625" style="599" customWidth="1"/>
    <col min="7936" max="7936" width="2.88671875" style="599" customWidth="1"/>
    <col min="7937" max="7937" width="13" style="599" customWidth="1"/>
    <col min="7938" max="7938" width="4.33203125" style="599" customWidth="1"/>
    <col min="7939" max="7939" width="9.33203125" style="599" customWidth="1"/>
    <col min="7940" max="7940" width="2.88671875" style="599" customWidth="1"/>
    <col min="7941" max="7941" width="9.33203125" style="599" customWidth="1"/>
    <col min="7942" max="7942" width="2.88671875" style="599" customWidth="1"/>
    <col min="7943" max="7943" width="4.33203125" style="599" customWidth="1"/>
    <col min="7944" max="7944" width="2.88671875" style="599" customWidth="1"/>
    <col min="7945" max="7945" width="20.6640625" style="599" customWidth="1"/>
    <col min="7946" max="7946" width="16.44140625" style="599" customWidth="1"/>
    <col min="7947" max="8184" width="8.6640625" style="599"/>
    <col min="8185" max="8185" width="4.33203125" style="599" customWidth="1"/>
    <col min="8186" max="8186" width="2.88671875" style="599" customWidth="1"/>
    <col min="8187" max="8187" width="34.109375" style="599" customWidth="1"/>
    <col min="8188" max="8188" width="4.33203125" style="599" customWidth="1"/>
    <col min="8189" max="8189" width="9.33203125" style="599" customWidth="1"/>
    <col min="8190" max="8190" width="2.88671875" style="599" customWidth="1"/>
    <col min="8191" max="8191" width="11.6640625" style="599" customWidth="1"/>
    <col min="8192" max="8192" width="2.88671875" style="599" customWidth="1"/>
    <col min="8193" max="8193" width="13" style="599" customWidth="1"/>
    <col min="8194" max="8194" width="4.33203125" style="599" customWidth="1"/>
    <col min="8195" max="8195" width="9.33203125" style="599" customWidth="1"/>
    <col min="8196" max="8196" width="2.88671875" style="599" customWidth="1"/>
    <col min="8197" max="8197" width="9.33203125" style="599" customWidth="1"/>
    <col min="8198" max="8198" width="2.88671875" style="599" customWidth="1"/>
    <col min="8199" max="8199" width="4.33203125" style="599" customWidth="1"/>
    <col min="8200" max="8200" width="2.88671875" style="599" customWidth="1"/>
    <col min="8201" max="8201" width="20.6640625" style="599" customWidth="1"/>
    <col min="8202" max="8202" width="16.44140625" style="599" customWidth="1"/>
    <col min="8203" max="8440" width="8.6640625" style="599"/>
    <col min="8441" max="8441" width="4.33203125" style="599" customWidth="1"/>
    <col min="8442" max="8442" width="2.88671875" style="599" customWidth="1"/>
    <col min="8443" max="8443" width="34.109375" style="599" customWidth="1"/>
    <col min="8444" max="8444" width="4.33203125" style="599" customWidth="1"/>
    <col min="8445" max="8445" width="9.33203125" style="599" customWidth="1"/>
    <col min="8446" max="8446" width="2.88671875" style="599" customWidth="1"/>
    <col min="8447" max="8447" width="11.6640625" style="599" customWidth="1"/>
    <col min="8448" max="8448" width="2.88671875" style="599" customWidth="1"/>
    <col min="8449" max="8449" width="13" style="599" customWidth="1"/>
    <col min="8450" max="8450" width="4.33203125" style="599" customWidth="1"/>
    <col min="8451" max="8451" width="9.33203125" style="599" customWidth="1"/>
    <col min="8452" max="8452" width="2.88671875" style="599" customWidth="1"/>
    <col min="8453" max="8453" width="9.33203125" style="599" customWidth="1"/>
    <col min="8454" max="8454" width="2.88671875" style="599" customWidth="1"/>
    <col min="8455" max="8455" width="4.33203125" style="599" customWidth="1"/>
    <col min="8456" max="8456" width="2.88671875" style="599" customWidth="1"/>
    <col min="8457" max="8457" width="20.6640625" style="599" customWidth="1"/>
    <col min="8458" max="8458" width="16.44140625" style="599" customWidth="1"/>
    <col min="8459" max="8696" width="8.6640625" style="599"/>
    <col min="8697" max="8697" width="4.33203125" style="599" customWidth="1"/>
    <col min="8698" max="8698" width="2.88671875" style="599" customWidth="1"/>
    <col min="8699" max="8699" width="34.109375" style="599" customWidth="1"/>
    <col min="8700" max="8700" width="4.33203125" style="599" customWidth="1"/>
    <col min="8701" max="8701" width="9.33203125" style="599" customWidth="1"/>
    <col min="8702" max="8702" width="2.88671875" style="599" customWidth="1"/>
    <col min="8703" max="8703" width="11.6640625" style="599" customWidth="1"/>
    <col min="8704" max="8704" width="2.88671875" style="599" customWidth="1"/>
    <col min="8705" max="8705" width="13" style="599" customWidth="1"/>
    <col min="8706" max="8706" width="4.33203125" style="599" customWidth="1"/>
    <col min="8707" max="8707" width="9.33203125" style="599" customWidth="1"/>
    <col min="8708" max="8708" width="2.88671875" style="599" customWidth="1"/>
    <col min="8709" max="8709" width="9.33203125" style="599" customWidth="1"/>
    <col min="8710" max="8710" width="2.88671875" style="599" customWidth="1"/>
    <col min="8711" max="8711" width="4.33203125" style="599" customWidth="1"/>
    <col min="8712" max="8712" width="2.88671875" style="599" customWidth="1"/>
    <col min="8713" max="8713" width="20.6640625" style="599" customWidth="1"/>
    <col min="8714" max="8714" width="16.44140625" style="599" customWidth="1"/>
    <col min="8715" max="8952" width="8.6640625" style="599"/>
    <col min="8953" max="8953" width="4.33203125" style="599" customWidth="1"/>
    <col min="8954" max="8954" width="2.88671875" style="599" customWidth="1"/>
    <col min="8955" max="8955" width="34.109375" style="599" customWidth="1"/>
    <col min="8956" max="8956" width="4.33203125" style="599" customWidth="1"/>
    <col min="8957" max="8957" width="9.33203125" style="599" customWidth="1"/>
    <col min="8958" max="8958" width="2.88671875" style="599" customWidth="1"/>
    <col min="8959" max="8959" width="11.6640625" style="599" customWidth="1"/>
    <col min="8960" max="8960" width="2.88671875" style="599" customWidth="1"/>
    <col min="8961" max="8961" width="13" style="599" customWidth="1"/>
    <col min="8962" max="8962" width="4.33203125" style="599" customWidth="1"/>
    <col min="8963" max="8963" width="9.33203125" style="599" customWidth="1"/>
    <col min="8964" max="8964" width="2.88671875" style="599" customWidth="1"/>
    <col min="8965" max="8965" width="9.33203125" style="599" customWidth="1"/>
    <col min="8966" max="8966" width="2.88671875" style="599" customWidth="1"/>
    <col min="8967" max="8967" width="4.33203125" style="599" customWidth="1"/>
    <col min="8968" max="8968" width="2.88671875" style="599" customWidth="1"/>
    <col min="8969" max="8969" width="20.6640625" style="599" customWidth="1"/>
    <col min="8970" max="8970" width="16.44140625" style="599" customWidth="1"/>
    <col min="8971" max="9208" width="8.6640625" style="599"/>
    <col min="9209" max="9209" width="4.33203125" style="599" customWidth="1"/>
    <col min="9210" max="9210" width="2.88671875" style="599" customWidth="1"/>
    <col min="9211" max="9211" width="34.109375" style="599" customWidth="1"/>
    <col min="9212" max="9212" width="4.33203125" style="599" customWidth="1"/>
    <col min="9213" max="9213" width="9.33203125" style="599" customWidth="1"/>
    <col min="9214" max="9214" width="2.88671875" style="599" customWidth="1"/>
    <col min="9215" max="9215" width="11.6640625" style="599" customWidth="1"/>
    <col min="9216" max="9216" width="2.88671875" style="599" customWidth="1"/>
    <col min="9217" max="9217" width="13" style="599" customWidth="1"/>
    <col min="9218" max="9218" width="4.33203125" style="599" customWidth="1"/>
    <col min="9219" max="9219" width="9.33203125" style="599" customWidth="1"/>
    <col min="9220" max="9220" width="2.88671875" style="599" customWidth="1"/>
    <col min="9221" max="9221" width="9.33203125" style="599" customWidth="1"/>
    <col min="9222" max="9222" width="2.88671875" style="599" customWidth="1"/>
    <col min="9223" max="9223" width="4.33203125" style="599" customWidth="1"/>
    <col min="9224" max="9224" width="2.88671875" style="599" customWidth="1"/>
    <col min="9225" max="9225" width="20.6640625" style="599" customWidth="1"/>
    <col min="9226" max="9226" width="16.44140625" style="599" customWidth="1"/>
    <col min="9227" max="9464" width="8.6640625" style="599"/>
    <col min="9465" max="9465" width="4.33203125" style="599" customWidth="1"/>
    <col min="9466" max="9466" width="2.88671875" style="599" customWidth="1"/>
    <col min="9467" max="9467" width="34.109375" style="599" customWidth="1"/>
    <col min="9468" max="9468" width="4.33203125" style="599" customWidth="1"/>
    <col min="9469" max="9469" width="9.33203125" style="599" customWidth="1"/>
    <col min="9470" max="9470" width="2.88671875" style="599" customWidth="1"/>
    <col min="9471" max="9471" width="11.6640625" style="599" customWidth="1"/>
    <col min="9472" max="9472" width="2.88671875" style="599" customWidth="1"/>
    <col min="9473" max="9473" width="13" style="599" customWidth="1"/>
    <col min="9474" max="9474" width="4.33203125" style="599" customWidth="1"/>
    <col min="9475" max="9475" width="9.33203125" style="599" customWidth="1"/>
    <col min="9476" max="9476" width="2.88671875" style="599" customWidth="1"/>
    <col min="9477" max="9477" width="9.33203125" style="599" customWidth="1"/>
    <col min="9478" max="9478" width="2.88671875" style="599" customWidth="1"/>
    <col min="9479" max="9479" width="4.33203125" style="599" customWidth="1"/>
    <col min="9480" max="9480" width="2.88671875" style="599" customWidth="1"/>
    <col min="9481" max="9481" width="20.6640625" style="599" customWidth="1"/>
    <col min="9482" max="9482" width="16.44140625" style="599" customWidth="1"/>
    <col min="9483" max="9720" width="8.6640625" style="599"/>
    <col min="9721" max="9721" width="4.33203125" style="599" customWidth="1"/>
    <col min="9722" max="9722" width="2.88671875" style="599" customWidth="1"/>
    <col min="9723" max="9723" width="34.109375" style="599" customWidth="1"/>
    <col min="9724" max="9724" width="4.33203125" style="599" customWidth="1"/>
    <col min="9725" max="9725" width="9.33203125" style="599" customWidth="1"/>
    <col min="9726" max="9726" width="2.88671875" style="599" customWidth="1"/>
    <col min="9727" max="9727" width="11.6640625" style="599" customWidth="1"/>
    <col min="9728" max="9728" width="2.88671875" style="599" customWidth="1"/>
    <col min="9729" max="9729" width="13" style="599" customWidth="1"/>
    <col min="9730" max="9730" width="4.33203125" style="599" customWidth="1"/>
    <col min="9731" max="9731" width="9.33203125" style="599" customWidth="1"/>
    <col min="9732" max="9732" width="2.88671875" style="599" customWidth="1"/>
    <col min="9733" max="9733" width="9.33203125" style="599" customWidth="1"/>
    <col min="9734" max="9734" width="2.88671875" style="599" customWidth="1"/>
    <col min="9735" max="9735" width="4.33203125" style="599" customWidth="1"/>
    <col min="9736" max="9736" width="2.88671875" style="599" customWidth="1"/>
    <col min="9737" max="9737" width="20.6640625" style="599" customWidth="1"/>
    <col min="9738" max="9738" width="16.44140625" style="599" customWidth="1"/>
    <col min="9739" max="9976" width="8.6640625" style="599"/>
    <col min="9977" max="9977" width="4.33203125" style="599" customWidth="1"/>
    <col min="9978" max="9978" width="2.88671875" style="599" customWidth="1"/>
    <col min="9979" max="9979" width="34.109375" style="599" customWidth="1"/>
    <col min="9980" max="9980" width="4.33203125" style="599" customWidth="1"/>
    <col min="9981" max="9981" width="9.33203125" style="599" customWidth="1"/>
    <col min="9982" max="9982" width="2.88671875" style="599" customWidth="1"/>
    <col min="9983" max="9983" width="11.6640625" style="599" customWidth="1"/>
    <col min="9984" max="9984" width="2.88671875" style="599" customWidth="1"/>
    <col min="9985" max="9985" width="13" style="599" customWidth="1"/>
    <col min="9986" max="9986" width="4.33203125" style="599" customWidth="1"/>
    <col min="9987" max="9987" width="9.33203125" style="599" customWidth="1"/>
    <col min="9988" max="9988" width="2.88671875" style="599" customWidth="1"/>
    <col min="9989" max="9989" width="9.33203125" style="599" customWidth="1"/>
    <col min="9990" max="9990" width="2.88671875" style="599" customWidth="1"/>
    <col min="9991" max="9991" width="4.33203125" style="599" customWidth="1"/>
    <col min="9992" max="9992" width="2.88671875" style="599" customWidth="1"/>
    <col min="9993" max="9993" width="20.6640625" style="599" customWidth="1"/>
    <col min="9994" max="9994" width="16.44140625" style="599" customWidth="1"/>
    <col min="9995" max="10232" width="8.6640625" style="599"/>
    <col min="10233" max="10233" width="4.33203125" style="599" customWidth="1"/>
    <col min="10234" max="10234" width="2.88671875" style="599" customWidth="1"/>
    <col min="10235" max="10235" width="34.109375" style="599" customWidth="1"/>
    <col min="10236" max="10236" width="4.33203125" style="599" customWidth="1"/>
    <col min="10237" max="10237" width="9.33203125" style="599" customWidth="1"/>
    <col min="10238" max="10238" width="2.88671875" style="599" customWidth="1"/>
    <col min="10239" max="10239" width="11.6640625" style="599" customWidth="1"/>
    <col min="10240" max="10240" width="2.88671875" style="599" customWidth="1"/>
    <col min="10241" max="10241" width="13" style="599" customWidth="1"/>
    <col min="10242" max="10242" width="4.33203125" style="599" customWidth="1"/>
    <col min="10243" max="10243" width="9.33203125" style="599" customWidth="1"/>
    <col min="10244" max="10244" width="2.88671875" style="599" customWidth="1"/>
    <col min="10245" max="10245" width="9.33203125" style="599" customWidth="1"/>
    <col min="10246" max="10246" width="2.88671875" style="599" customWidth="1"/>
    <col min="10247" max="10247" width="4.33203125" style="599" customWidth="1"/>
    <col min="10248" max="10248" width="2.88671875" style="599" customWidth="1"/>
    <col min="10249" max="10249" width="20.6640625" style="599" customWidth="1"/>
    <col min="10250" max="10250" width="16.44140625" style="599" customWidth="1"/>
    <col min="10251" max="10488" width="8.6640625" style="599"/>
    <col min="10489" max="10489" width="4.33203125" style="599" customWidth="1"/>
    <col min="10490" max="10490" width="2.88671875" style="599" customWidth="1"/>
    <col min="10491" max="10491" width="34.109375" style="599" customWidth="1"/>
    <col min="10492" max="10492" width="4.33203125" style="599" customWidth="1"/>
    <col min="10493" max="10493" width="9.33203125" style="599" customWidth="1"/>
    <col min="10494" max="10494" width="2.88671875" style="599" customWidth="1"/>
    <col min="10495" max="10495" width="11.6640625" style="599" customWidth="1"/>
    <col min="10496" max="10496" width="2.88671875" style="599" customWidth="1"/>
    <col min="10497" max="10497" width="13" style="599" customWidth="1"/>
    <col min="10498" max="10498" width="4.33203125" style="599" customWidth="1"/>
    <col min="10499" max="10499" width="9.33203125" style="599" customWidth="1"/>
    <col min="10500" max="10500" width="2.88671875" style="599" customWidth="1"/>
    <col min="10501" max="10501" width="9.33203125" style="599" customWidth="1"/>
    <col min="10502" max="10502" width="2.88671875" style="599" customWidth="1"/>
    <col min="10503" max="10503" width="4.33203125" style="599" customWidth="1"/>
    <col min="10504" max="10504" width="2.88671875" style="599" customWidth="1"/>
    <col min="10505" max="10505" width="20.6640625" style="599" customWidth="1"/>
    <col min="10506" max="10506" width="16.44140625" style="599" customWidth="1"/>
    <col min="10507" max="10744" width="8.6640625" style="599"/>
    <col min="10745" max="10745" width="4.33203125" style="599" customWidth="1"/>
    <col min="10746" max="10746" width="2.88671875" style="599" customWidth="1"/>
    <col min="10747" max="10747" width="34.109375" style="599" customWidth="1"/>
    <col min="10748" max="10748" width="4.33203125" style="599" customWidth="1"/>
    <col min="10749" max="10749" width="9.33203125" style="599" customWidth="1"/>
    <col min="10750" max="10750" width="2.88671875" style="599" customWidth="1"/>
    <col min="10751" max="10751" width="11.6640625" style="599" customWidth="1"/>
    <col min="10752" max="10752" width="2.88671875" style="599" customWidth="1"/>
    <col min="10753" max="10753" width="13" style="599" customWidth="1"/>
    <col min="10754" max="10754" width="4.33203125" style="599" customWidth="1"/>
    <col min="10755" max="10755" width="9.33203125" style="599" customWidth="1"/>
    <col min="10756" max="10756" width="2.88671875" style="599" customWidth="1"/>
    <col min="10757" max="10757" width="9.33203125" style="599" customWidth="1"/>
    <col min="10758" max="10758" width="2.88671875" style="599" customWidth="1"/>
    <col min="10759" max="10759" width="4.33203125" style="599" customWidth="1"/>
    <col min="10760" max="10760" width="2.88671875" style="599" customWidth="1"/>
    <col min="10761" max="10761" width="20.6640625" style="599" customWidth="1"/>
    <col min="10762" max="10762" width="16.44140625" style="599" customWidth="1"/>
    <col min="10763" max="11000" width="8.6640625" style="599"/>
    <col min="11001" max="11001" width="4.33203125" style="599" customWidth="1"/>
    <col min="11002" max="11002" width="2.88671875" style="599" customWidth="1"/>
    <col min="11003" max="11003" width="34.109375" style="599" customWidth="1"/>
    <col min="11004" max="11004" width="4.33203125" style="599" customWidth="1"/>
    <col min="11005" max="11005" width="9.33203125" style="599" customWidth="1"/>
    <col min="11006" max="11006" width="2.88671875" style="599" customWidth="1"/>
    <col min="11007" max="11007" width="11.6640625" style="599" customWidth="1"/>
    <col min="11008" max="11008" width="2.88671875" style="599" customWidth="1"/>
    <col min="11009" max="11009" width="13" style="599" customWidth="1"/>
    <col min="11010" max="11010" width="4.33203125" style="599" customWidth="1"/>
    <col min="11011" max="11011" width="9.33203125" style="599" customWidth="1"/>
    <col min="11012" max="11012" width="2.88671875" style="599" customWidth="1"/>
    <col min="11013" max="11013" width="9.33203125" style="599" customWidth="1"/>
    <col min="11014" max="11014" width="2.88671875" style="599" customWidth="1"/>
    <col min="11015" max="11015" width="4.33203125" style="599" customWidth="1"/>
    <col min="11016" max="11016" width="2.88671875" style="599" customWidth="1"/>
    <col min="11017" max="11017" width="20.6640625" style="599" customWidth="1"/>
    <col min="11018" max="11018" width="16.44140625" style="599" customWidth="1"/>
    <col min="11019" max="11256" width="8.6640625" style="599"/>
    <col min="11257" max="11257" width="4.33203125" style="599" customWidth="1"/>
    <col min="11258" max="11258" width="2.88671875" style="599" customWidth="1"/>
    <col min="11259" max="11259" width="34.109375" style="599" customWidth="1"/>
    <col min="11260" max="11260" width="4.33203125" style="599" customWidth="1"/>
    <col min="11261" max="11261" width="9.33203125" style="599" customWidth="1"/>
    <col min="11262" max="11262" width="2.88671875" style="599" customWidth="1"/>
    <col min="11263" max="11263" width="11.6640625" style="599" customWidth="1"/>
    <col min="11264" max="11264" width="2.88671875" style="599" customWidth="1"/>
    <col min="11265" max="11265" width="13" style="599" customWidth="1"/>
    <col min="11266" max="11266" width="4.33203125" style="599" customWidth="1"/>
    <col min="11267" max="11267" width="9.33203125" style="599" customWidth="1"/>
    <col min="11268" max="11268" width="2.88671875" style="599" customWidth="1"/>
    <col min="11269" max="11269" width="9.33203125" style="599" customWidth="1"/>
    <col min="11270" max="11270" width="2.88671875" style="599" customWidth="1"/>
    <col min="11271" max="11271" width="4.33203125" style="599" customWidth="1"/>
    <col min="11272" max="11272" width="2.88671875" style="599" customWidth="1"/>
    <col min="11273" max="11273" width="20.6640625" style="599" customWidth="1"/>
    <col min="11274" max="11274" width="16.44140625" style="599" customWidth="1"/>
    <col min="11275" max="11512" width="8.6640625" style="599"/>
    <col min="11513" max="11513" width="4.33203125" style="599" customWidth="1"/>
    <col min="11514" max="11514" width="2.88671875" style="599" customWidth="1"/>
    <col min="11515" max="11515" width="34.109375" style="599" customWidth="1"/>
    <col min="11516" max="11516" width="4.33203125" style="599" customWidth="1"/>
    <col min="11517" max="11517" width="9.33203125" style="599" customWidth="1"/>
    <col min="11518" max="11518" width="2.88671875" style="599" customWidth="1"/>
    <col min="11519" max="11519" width="11.6640625" style="599" customWidth="1"/>
    <col min="11520" max="11520" width="2.88671875" style="599" customWidth="1"/>
    <col min="11521" max="11521" width="13" style="599" customWidth="1"/>
    <col min="11522" max="11522" width="4.33203125" style="599" customWidth="1"/>
    <col min="11523" max="11523" width="9.33203125" style="599" customWidth="1"/>
    <col min="11524" max="11524" width="2.88671875" style="599" customWidth="1"/>
    <col min="11525" max="11525" width="9.33203125" style="599" customWidth="1"/>
    <col min="11526" max="11526" width="2.88671875" style="599" customWidth="1"/>
    <col min="11527" max="11527" width="4.33203125" style="599" customWidth="1"/>
    <col min="11528" max="11528" width="2.88671875" style="599" customWidth="1"/>
    <col min="11529" max="11529" width="20.6640625" style="599" customWidth="1"/>
    <col min="11530" max="11530" width="16.44140625" style="599" customWidth="1"/>
    <col min="11531" max="11768" width="8.6640625" style="599"/>
    <col min="11769" max="11769" width="4.33203125" style="599" customWidth="1"/>
    <col min="11770" max="11770" width="2.88671875" style="599" customWidth="1"/>
    <col min="11771" max="11771" width="34.109375" style="599" customWidth="1"/>
    <col min="11772" max="11772" width="4.33203125" style="599" customWidth="1"/>
    <col min="11773" max="11773" width="9.33203125" style="599" customWidth="1"/>
    <col min="11774" max="11774" width="2.88671875" style="599" customWidth="1"/>
    <col min="11775" max="11775" width="11.6640625" style="599" customWidth="1"/>
    <col min="11776" max="11776" width="2.88671875" style="599" customWidth="1"/>
    <col min="11777" max="11777" width="13" style="599" customWidth="1"/>
    <col min="11778" max="11778" width="4.33203125" style="599" customWidth="1"/>
    <col min="11779" max="11779" width="9.33203125" style="599" customWidth="1"/>
    <col min="11780" max="11780" width="2.88671875" style="599" customWidth="1"/>
    <col min="11781" max="11781" width="9.33203125" style="599" customWidth="1"/>
    <col min="11782" max="11782" width="2.88671875" style="599" customWidth="1"/>
    <col min="11783" max="11783" width="4.33203125" style="599" customWidth="1"/>
    <col min="11784" max="11784" width="2.88671875" style="599" customWidth="1"/>
    <col min="11785" max="11785" width="20.6640625" style="599" customWidth="1"/>
    <col min="11786" max="11786" width="16.44140625" style="599" customWidth="1"/>
    <col min="11787" max="12024" width="8.6640625" style="599"/>
    <col min="12025" max="12025" width="4.33203125" style="599" customWidth="1"/>
    <col min="12026" max="12026" width="2.88671875" style="599" customWidth="1"/>
    <col min="12027" max="12027" width="34.109375" style="599" customWidth="1"/>
    <col min="12028" max="12028" width="4.33203125" style="599" customWidth="1"/>
    <col min="12029" max="12029" width="9.33203125" style="599" customWidth="1"/>
    <col min="12030" max="12030" width="2.88671875" style="599" customWidth="1"/>
    <col min="12031" max="12031" width="11.6640625" style="599" customWidth="1"/>
    <col min="12032" max="12032" width="2.88671875" style="599" customWidth="1"/>
    <col min="12033" max="12033" width="13" style="599" customWidth="1"/>
    <col min="12034" max="12034" width="4.33203125" style="599" customWidth="1"/>
    <col min="12035" max="12035" width="9.33203125" style="599" customWidth="1"/>
    <col min="12036" max="12036" width="2.88671875" style="599" customWidth="1"/>
    <col min="12037" max="12037" width="9.33203125" style="599" customWidth="1"/>
    <col min="12038" max="12038" width="2.88671875" style="599" customWidth="1"/>
    <col min="12039" max="12039" width="4.33203125" style="599" customWidth="1"/>
    <col min="12040" max="12040" width="2.88671875" style="599" customWidth="1"/>
    <col min="12041" max="12041" width="20.6640625" style="599" customWidth="1"/>
    <col min="12042" max="12042" width="16.44140625" style="599" customWidth="1"/>
    <col min="12043" max="12280" width="8.6640625" style="599"/>
    <col min="12281" max="12281" width="4.33203125" style="599" customWidth="1"/>
    <col min="12282" max="12282" width="2.88671875" style="599" customWidth="1"/>
    <col min="12283" max="12283" width="34.109375" style="599" customWidth="1"/>
    <col min="12284" max="12284" width="4.33203125" style="599" customWidth="1"/>
    <col min="12285" max="12285" width="9.33203125" style="599" customWidth="1"/>
    <col min="12286" max="12286" width="2.88671875" style="599" customWidth="1"/>
    <col min="12287" max="12287" width="11.6640625" style="599" customWidth="1"/>
    <col min="12288" max="12288" width="2.88671875" style="599" customWidth="1"/>
    <col min="12289" max="12289" width="13" style="599" customWidth="1"/>
    <col min="12290" max="12290" width="4.33203125" style="599" customWidth="1"/>
    <col min="12291" max="12291" width="9.33203125" style="599" customWidth="1"/>
    <col min="12292" max="12292" width="2.88671875" style="599" customWidth="1"/>
    <col min="12293" max="12293" width="9.33203125" style="599" customWidth="1"/>
    <col min="12294" max="12294" width="2.88671875" style="599" customWidth="1"/>
    <col min="12295" max="12295" width="4.33203125" style="599" customWidth="1"/>
    <col min="12296" max="12296" width="2.88671875" style="599" customWidth="1"/>
    <col min="12297" max="12297" width="20.6640625" style="599" customWidth="1"/>
    <col min="12298" max="12298" width="16.44140625" style="599" customWidth="1"/>
    <col min="12299" max="12536" width="8.6640625" style="599"/>
    <col min="12537" max="12537" width="4.33203125" style="599" customWidth="1"/>
    <col min="12538" max="12538" width="2.88671875" style="599" customWidth="1"/>
    <col min="12539" max="12539" width="34.109375" style="599" customWidth="1"/>
    <col min="12540" max="12540" width="4.33203125" style="599" customWidth="1"/>
    <col min="12541" max="12541" width="9.33203125" style="599" customWidth="1"/>
    <col min="12542" max="12542" width="2.88671875" style="599" customWidth="1"/>
    <col min="12543" max="12543" width="11.6640625" style="599" customWidth="1"/>
    <col min="12544" max="12544" width="2.88671875" style="599" customWidth="1"/>
    <col min="12545" max="12545" width="13" style="599" customWidth="1"/>
    <col min="12546" max="12546" width="4.33203125" style="599" customWidth="1"/>
    <col min="12547" max="12547" width="9.33203125" style="599" customWidth="1"/>
    <col min="12548" max="12548" width="2.88671875" style="599" customWidth="1"/>
    <col min="12549" max="12549" width="9.33203125" style="599" customWidth="1"/>
    <col min="12550" max="12550" width="2.88671875" style="599" customWidth="1"/>
    <col min="12551" max="12551" width="4.33203125" style="599" customWidth="1"/>
    <col min="12552" max="12552" width="2.88671875" style="599" customWidth="1"/>
    <col min="12553" max="12553" width="20.6640625" style="599" customWidth="1"/>
    <col min="12554" max="12554" width="16.44140625" style="599" customWidth="1"/>
    <col min="12555" max="12792" width="8.6640625" style="599"/>
    <col min="12793" max="12793" width="4.33203125" style="599" customWidth="1"/>
    <col min="12794" max="12794" width="2.88671875" style="599" customWidth="1"/>
    <col min="12795" max="12795" width="34.109375" style="599" customWidth="1"/>
    <col min="12796" max="12796" width="4.33203125" style="599" customWidth="1"/>
    <col min="12797" max="12797" width="9.33203125" style="599" customWidth="1"/>
    <col min="12798" max="12798" width="2.88671875" style="599" customWidth="1"/>
    <col min="12799" max="12799" width="11.6640625" style="599" customWidth="1"/>
    <col min="12800" max="12800" width="2.88671875" style="599" customWidth="1"/>
    <col min="12801" max="12801" width="13" style="599" customWidth="1"/>
    <col min="12802" max="12802" width="4.33203125" style="599" customWidth="1"/>
    <col min="12803" max="12803" width="9.33203125" style="599" customWidth="1"/>
    <col min="12804" max="12804" width="2.88671875" style="599" customWidth="1"/>
    <col min="12805" max="12805" width="9.33203125" style="599" customWidth="1"/>
    <col min="12806" max="12806" width="2.88671875" style="599" customWidth="1"/>
    <col min="12807" max="12807" width="4.33203125" style="599" customWidth="1"/>
    <col min="12808" max="12808" width="2.88671875" style="599" customWidth="1"/>
    <col min="12809" max="12809" width="20.6640625" style="599" customWidth="1"/>
    <col min="12810" max="12810" width="16.44140625" style="599" customWidth="1"/>
    <col min="12811" max="13048" width="8.6640625" style="599"/>
    <col min="13049" max="13049" width="4.33203125" style="599" customWidth="1"/>
    <col min="13050" max="13050" width="2.88671875" style="599" customWidth="1"/>
    <col min="13051" max="13051" width="34.109375" style="599" customWidth="1"/>
    <col min="13052" max="13052" width="4.33203125" style="599" customWidth="1"/>
    <col min="13053" max="13053" width="9.33203125" style="599" customWidth="1"/>
    <col min="13054" max="13054" width="2.88671875" style="599" customWidth="1"/>
    <col min="13055" max="13055" width="11.6640625" style="599" customWidth="1"/>
    <col min="13056" max="13056" width="2.88671875" style="599" customWidth="1"/>
    <col min="13057" max="13057" width="13" style="599" customWidth="1"/>
    <col min="13058" max="13058" width="4.33203125" style="599" customWidth="1"/>
    <col min="13059" max="13059" width="9.33203125" style="599" customWidth="1"/>
    <col min="13060" max="13060" width="2.88671875" style="599" customWidth="1"/>
    <col min="13061" max="13061" width="9.33203125" style="599" customWidth="1"/>
    <col min="13062" max="13062" width="2.88671875" style="599" customWidth="1"/>
    <col min="13063" max="13063" width="4.33203125" style="599" customWidth="1"/>
    <col min="13064" max="13064" width="2.88671875" style="599" customWidth="1"/>
    <col min="13065" max="13065" width="20.6640625" style="599" customWidth="1"/>
    <col min="13066" max="13066" width="16.44140625" style="599" customWidth="1"/>
    <col min="13067" max="13304" width="8.6640625" style="599"/>
    <col min="13305" max="13305" width="4.33203125" style="599" customWidth="1"/>
    <col min="13306" max="13306" width="2.88671875" style="599" customWidth="1"/>
    <col min="13307" max="13307" width="34.109375" style="599" customWidth="1"/>
    <col min="13308" max="13308" width="4.33203125" style="599" customWidth="1"/>
    <col min="13309" max="13309" width="9.33203125" style="599" customWidth="1"/>
    <col min="13310" max="13310" width="2.88671875" style="599" customWidth="1"/>
    <col min="13311" max="13311" width="11.6640625" style="599" customWidth="1"/>
    <col min="13312" max="13312" width="2.88671875" style="599" customWidth="1"/>
    <col min="13313" max="13313" width="13" style="599" customWidth="1"/>
    <col min="13314" max="13314" width="4.33203125" style="599" customWidth="1"/>
    <col min="13315" max="13315" width="9.33203125" style="599" customWidth="1"/>
    <col min="13316" max="13316" width="2.88671875" style="599" customWidth="1"/>
    <col min="13317" max="13317" width="9.33203125" style="599" customWidth="1"/>
    <col min="13318" max="13318" width="2.88671875" style="599" customWidth="1"/>
    <col min="13319" max="13319" width="4.33203125" style="599" customWidth="1"/>
    <col min="13320" max="13320" width="2.88671875" style="599" customWidth="1"/>
    <col min="13321" max="13321" width="20.6640625" style="599" customWidth="1"/>
    <col min="13322" max="13322" width="16.44140625" style="599" customWidth="1"/>
    <col min="13323" max="13560" width="8.6640625" style="599"/>
    <col min="13561" max="13561" width="4.33203125" style="599" customWidth="1"/>
    <col min="13562" max="13562" width="2.88671875" style="599" customWidth="1"/>
    <col min="13563" max="13563" width="34.109375" style="599" customWidth="1"/>
    <col min="13564" max="13564" width="4.33203125" style="599" customWidth="1"/>
    <col min="13565" max="13565" width="9.33203125" style="599" customWidth="1"/>
    <col min="13566" max="13566" width="2.88671875" style="599" customWidth="1"/>
    <col min="13567" max="13567" width="11.6640625" style="599" customWidth="1"/>
    <col min="13568" max="13568" width="2.88671875" style="599" customWidth="1"/>
    <col min="13569" max="13569" width="13" style="599" customWidth="1"/>
    <col min="13570" max="13570" width="4.33203125" style="599" customWidth="1"/>
    <col min="13571" max="13571" width="9.33203125" style="599" customWidth="1"/>
    <col min="13572" max="13572" width="2.88671875" style="599" customWidth="1"/>
    <col min="13573" max="13573" width="9.33203125" style="599" customWidth="1"/>
    <col min="13574" max="13574" width="2.88671875" style="599" customWidth="1"/>
    <col min="13575" max="13575" width="4.33203125" style="599" customWidth="1"/>
    <col min="13576" max="13576" width="2.88671875" style="599" customWidth="1"/>
    <col min="13577" max="13577" width="20.6640625" style="599" customWidth="1"/>
    <col min="13578" max="13578" width="16.44140625" style="599" customWidth="1"/>
    <col min="13579" max="13816" width="8.6640625" style="599"/>
    <col min="13817" max="13817" width="4.33203125" style="599" customWidth="1"/>
    <col min="13818" max="13818" width="2.88671875" style="599" customWidth="1"/>
    <col min="13819" max="13819" width="34.109375" style="599" customWidth="1"/>
    <col min="13820" max="13820" width="4.33203125" style="599" customWidth="1"/>
    <col min="13821" max="13821" width="9.33203125" style="599" customWidth="1"/>
    <col min="13822" max="13822" width="2.88671875" style="599" customWidth="1"/>
    <col min="13823" max="13823" width="11.6640625" style="599" customWidth="1"/>
    <col min="13824" max="13824" width="2.88671875" style="599" customWidth="1"/>
    <col min="13825" max="13825" width="13" style="599" customWidth="1"/>
    <col min="13826" max="13826" width="4.33203125" style="599" customWidth="1"/>
    <col min="13827" max="13827" width="9.33203125" style="599" customWidth="1"/>
    <col min="13828" max="13828" width="2.88671875" style="599" customWidth="1"/>
    <col min="13829" max="13829" width="9.33203125" style="599" customWidth="1"/>
    <col min="13830" max="13830" width="2.88671875" style="599" customWidth="1"/>
    <col min="13831" max="13831" width="4.33203125" style="599" customWidth="1"/>
    <col min="13832" max="13832" width="2.88671875" style="599" customWidth="1"/>
    <col min="13833" max="13833" width="20.6640625" style="599" customWidth="1"/>
    <col min="13834" max="13834" width="16.44140625" style="599" customWidth="1"/>
    <col min="13835" max="14072" width="8.6640625" style="599"/>
    <col min="14073" max="14073" width="4.33203125" style="599" customWidth="1"/>
    <col min="14074" max="14074" width="2.88671875" style="599" customWidth="1"/>
    <col min="14075" max="14075" width="34.109375" style="599" customWidth="1"/>
    <col min="14076" max="14076" width="4.33203125" style="599" customWidth="1"/>
    <col min="14077" max="14077" width="9.33203125" style="599" customWidth="1"/>
    <col min="14078" max="14078" width="2.88671875" style="599" customWidth="1"/>
    <col min="14079" max="14079" width="11.6640625" style="599" customWidth="1"/>
    <col min="14080" max="14080" width="2.88671875" style="599" customWidth="1"/>
    <col min="14081" max="14081" width="13" style="599" customWidth="1"/>
    <col min="14082" max="14082" width="4.33203125" style="599" customWidth="1"/>
    <col min="14083" max="14083" width="9.33203125" style="599" customWidth="1"/>
    <col min="14084" max="14084" width="2.88671875" style="599" customWidth="1"/>
    <col min="14085" max="14085" width="9.33203125" style="599" customWidth="1"/>
    <col min="14086" max="14086" width="2.88671875" style="599" customWidth="1"/>
    <col min="14087" max="14087" width="4.33203125" style="599" customWidth="1"/>
    <col min="14088" max="14088" width="2.88671875" style="599" customWidth="1"/>
    <col min="14089" max="14089" width="20.6640625" style="599" customWidth="1"/>
    <col min="14090" max="14090" width="16.44140625" style="599" customWidth="1"/>
    <col min="14091" max="14328" width="8.6640625" style="599"/>
    <col min="14329" max="14329" width="4.33203125" style="599" customWidth="1"/>
    <col min="14330" max="14330" width="2.88671875" style="599" customWidth="1"/>
    <col min="14331" max="14331" width="34.109375" style="599" customWidth="1"/>
    <col min="14332" max="14332" width="4.33203125" style="599" customWidth="1"/>
    <col min="14333" max="14333" width="9.33203125" style="599" customWidth="1"/>
    <col min="14334" max="14334" width="2.88671875" style="599" customWidth="1"/>
    <col min="14335" max="14335" width="11.6640625" style="599" customWidth="1"/>
    <col min="14336" max="14336" width="2.88671875" style="599" customWidth="1"/>
    <col min="14337" max="14337" width="13" style="599" customWidth="1"/>
    <col min="14338" max="14338" width="4.33203125" style="599" customWidth="1"/>
    <col min="14339" max="14339" width="9.33203125" style="599" customWidth="1"/>
    <col min="14340" max="14340" width="2.88671875" style="599" customWidth="1"/>
    <col min="14341" max="14341" width="9.33203125" style="599" customWidth="1"/>
    <col min="14342" max="14342" width="2.88671875" style="599" customWidth="1"/>
    <col min="14343" max="14343" width="4.33203125" style="599" customWidth="1"/>
    <col min="14344" max="14344" width="2.88671875" style="599" customWidth="1"/>
    <col min="14345" max="14345" width="20.6640625" style="599" customWidth="1"/>
    <col min="14346" max="14346" width="16.44140625" style="599" customWidth="1"/>
    <col min="14347" max="14584" width="8.6640625" style="599"/>
    <col min="14585" max="14585" width="4.33203125" style="599" customWidth="1"/>
    <col min="14586" max="14586" width="2.88671875" style="599" customWidth="1"/>
    <col min="14587" max="14587" width="34.109375" style="599" customWidth="1"/>
    <col min="14588" max="14588" width="4.33203125" style="599" customWidth="1"/>
    <col min="14589" max="14589" width="9.33203125" style="599" customWidth="1"/>
    <col min="14590" max="14590" width="2.88671875" style="599" customWidth="1"/>
    <col min="14591" max="14591" width="11.6640625" style="599" customWidth="1"/>
    <col min="14592" max="14592" width="2.88671875" style="599" customWidth="1"/>
    <col min="14593" max="14593" width="13" style="599" customWidth="1"/>
    <col min="14594" max="14594" width="4.33203125" style="599" customWidth="1"/>
    <col min="14595" max="14595" width="9.33203125" style="599" customWidth="1"/>
    <col min="14596" max="14596" width="2.88671875" style="599" customWidth="1"/>
    <col min="14597" max="14597" width="9.33203125" style="599" customWidth="1"/>
    <col min="14598" max="14598" width="2.88671875" style="599" customWidth="1"/>
    <col min="14599" max="14599" width="4.33203125" style="599" customWidth="1"/>
    <col min="14600" max="14600" width="2.88671875" style="599" customWidth="1"/>
    <col min="14601" max="14601" width="20.6640625" style="599" customWidth="1"/>
    <col min="14602" max="14602" width="16.44140625" style="599" customWidth="1"/>
    <col min="14603" max="14840" width="8.6640625" style="599"/>
    <col min="14841" max="14841" width="4.33203125" style="599" customWidth="1"/>
    <col min="14842" max="14842" width="2.88671875" style="599" customWidth="1"/>
    <col min="14843" max="14843" width="34.109375" style="599" customWidth="1"/>
    <col min="14844" max="14844" width="4.33203125" style="599" customWidth="1"/>
    <col min="14845" max="14845" width="9.33203125" style="599" customWidth="1"/>
    <col min="14846" max="14846" width="2.88671875" style="599" customWidth="1"/>
    <col min="14847" max="14847" width="11.6640625" style="599" customWidth="1"/>
    <col min="14848" max="14848" width="2.88671875" style="599" customWidth="1"/>
    <col min="14849" max="14849" width="13" style="599" customWidth="1"/>
    <col min="14850" max="14850" width="4.33203125" style="599" customWidth="1"/>
    <col min="14851" max="14851" width="9.33203125" style="599" customWidth="1"/>
    <col min="14852" max="14852" width="2.88671875" style="599" customWidth="1"/>
    <col min="14853" max="14853" width="9.33203125" style="599" customWidth="1"/>
    <col min="14854" max="14854" width="2.88671875" style="599" customWidth="1"/>
    <col min="14855" max="14855" width="4.33203125" style="599" customWidth="1"/>
    <col min="14856" max="14856" width="2.88671875" style="599" customWidth="1"/>
    <col min="14857" max="14857" width="20.6640625" style="599" customWidth="1"/>
    <col min="14858" max="14858" width="16.44140625" style="599" customWidth="1"/>
    <col min="14859" max="15096" width="8.6640625" style="599"/>
    <col min="15097" max="15097" width="4.33203125" style="599" customWidth="1"/>
    <col min="15098" max="15098" width="2.88671875" style="599" customWidth="1"/>
    <col min="15099" max="15099" width="34.109375" style="599" customWidth="1"/>
    <col min="15100" max="15100" width="4.33203125" style="599" customWidth="1"/>
    <col min="15101" max="15101" width="9.33203125" style="599" customWidth="1"/>
    <col min="15102" max="15102" width="2.88671875" style="599" customWidth="1"/>
    <col min="15103" max="15103" width="11.6640625" style="599" customWidth="1"/>
    <col min="15104" max="15104" width="2.88671875" style="599" customWidth="1"/>
    <col min="15105" max="15105" width="13" style="599" customWidth="1"/>
    <col min="15106" max="15106" width="4.33203125" style="599" customWidth="1"/>
    <col min="15107" max="15107" width="9.33203125" style="599" customWidth="1"/>
    <col min="15108" max="15108" width="2.88671875" style="599" customWidth="1"/>
    <col min="15109" max="15109" width="9.33203125" style="599" customWidth="1"/>
    <col min="15110" max="15110" width="2.88671875" style="599" customWidth="1"/>
    <col min="15111" max="15111" width="4.33203125" style="599" customWidth="1"/>
    <col min="15112" max="15112" width="2.88671875" style="599" customWidth="1"/>
    <col min="15113" max="15113" width="20.6640625" style="599" customWidth="1"/>
    <col min="15114" max="15114" width="16.44140625" style="599" customWidth="1"/>
    <col min="15115" max="15352" width="8.6640625" style="599"/>
    <col min="15353" max="15353" width="4.33203125" style="599" customWidth="1"/>
    <col min="15354" max="15354" width="2.88671875" style="599" customWidth="1"/>
    <col min="15355" max="15355" width="34.109375" style="599" customWidth="1"/>
    <col min="15356" max="15356" width="4.33203125" style="599" customWidth="1"/>
    <col min="15357" max="15357" width="9.33203125" style="599" customWidth="1"/>
    <col min="15358" max="15358" width="2.88671875" style="599" customWidth="1"/>
    <col min="15359" max="15359" width="11.6640625" style="599" customWidth="1"/>
    <col min="15360" max="15360" width="2.88671875" style="599" customWidth="1"/>
    <col min="15361" max="15361" width="13" style="599" customWidth="1"/>
    <col min="15362" max="15362" width="4.33203125" style="599" customWidth="1"/>
    <col min="15363" max="15363" width="9.33203125" style="599" customWidth="1"/>
    <col min="15364" max="15364" width="2.88671875" style="599" customWidth="1"/>
    <col min="15365" max="15365" width="9.33203125" style="599" customWidth="1"/>
    <col min="15366" max="15366" width="2.88671875" style="599" customWidth="1"/>
    <col min="15367" max="15367" width="4.33203125" style="599" customWidth="1"/>
    <col min="15368" max="15368" width="2.88671875" style="599" customWidth="1"/>
    <col min="15369" max="15369" width="20.6640625" style="599" customWidth="1"/>
    <col min="15370" max="15370" width="16.44140625" style="599" customWidth="1"/>
    <col min="15371" max="15608" width="8.6640625" style="599"/>
    <col min="15609" max="15609" width="4.33203125" style="599" customWidth="1"/>
    <col min="15610" max="15610" width="2.88671875" style="599" customWidth="1"/>
    <col min="15611" max="15611" width="34.109375" style="599" customWidth="1"/>
    <col min="15612" max="15612" width="4.33203125" style="599" customWidth="1"/>
    <col min="15613" max="15613" width="9.33203125" style="599" customWidth="1"/>
    <col min="15614" max="15614" width="2.88671875" style="599" customWidth="1"/>
    <col min="15615" max="15615" width="11.6640625" style="599" customWidth="1"/>
    <col min="15616" max="15616" width="2.88671875" style="599" customWidth="1"/>
    <col min="15617" max="15617" width="13" style="599" customWidth="1"/>
    <col min="15618" max="15618" width="4.33203125" style="599" customWidth="1"/>
    <col min="15619" max="15619" width="9.33203125" style="599" customWidth="1"/>
    <col min="15620" max="15620" width="2.88671875" style="599" customWidth="1"/>
    <col min="15621" max="15621" width="9.33203125" style="599" customWidth="1"/>
    <col min="15622" max="15622" width="2.88671875" style="599" customWidth="1"/>
    <col min="15623" max="15623" width="4.33203125" style="599" customWidth="1"/>
    <col min="15624" max="15624" width="2.88671875" style="599" customWidth="1"/>
    <col min="15625" max="15625" width="20.6640625" style="599" customWidth="1"/>
    <col min="15626" max="15626" width="16.44140625" style="599" customWidth="1"/>
    <col min="15627" max="15864" width="8.6640625" style="599"/>
    <col min="15865" max="15865" width="4.33203125" style="599" customWidth="1"/>
    <col min="15866" max="15866" width="2.88671875" style="599" customWidth="1"/>
    <col min="15867" max="15867" width="34.109375" style="599" customWidth="1"/>
    <col min="15868" max="15868" width="4.33203125" style="599" customWidth="1"/>
    <col min="15869" max="15869" width="9.33203125" style="599" customWidth="1"/>
    <col min="15870" max="15870" width="2.88671875" style="599" customWidth="1"/>
    <col min="15871" max="15871" width="11.6640625" style="599" customWidth="1"/>
    <col min="15872" max="15872" width="2.88671875" style="599" customWidth="1"/>
    <col min="15873" max="15873" width="13" style="599" customWidth="1"/>
    <col min="15874" max="15874" width="4.33203125" style="599" customWidth="1"/>
    <col min="15875" max="15875" width="9.33203125" style="599" customWidth="1"/>
    <col min="15876" max="15876" width="2.88671875" style="599" customWidth="1"/>
    <col min="15877" max="15877" width="9.33203125" style="599" customWidth="1"/>
    <col min="15878" max="15878" width="2.88671875" style="599" customWidth="1"/>
    <col min="15879" max="15879" width="4.33203125" style="599" customWidth="1"/>
    <col min="15880" max="15880" width="2.88671875" style="599" customWidth="1"/>
    <col min="15881" max="15881" width="20.6640625" style="599" customWidth="1"/>
    <col min="15882" max="15882" width="16.44140625" style="599" customWidth="1"/>
    <col min="15883" max="16120" width="8.6640625" style="599"/>
    <col min="16121" max="16121" width="4.33203125" style="599" customWidth="1"/>
    <col min="16122" max="16122" width="2.88671875" style="599" customWidth="1"/>
    <col min="16123" max="16123" width="34.109375" style="599" customWidth="1"/>
    <col min="16124" max="16124" width="4.33203125" style="599" customWidth="1"/>
    <col min="16125" max="16125" width="9.33203125" style="599" customWidth="1"/>
    <col min="16126" max="16126" width="2.88671875" style="599" customWidth="1"/>
    <col min="16127" max="16127" width="11.6640625" style="599" customWidth="1"/>
    <col min="16128" max="16128" width="2.88671875" style="599" customWidth="1"/>
    <col min="16129" max="16129" width="13" style="599" customWidth="1"/>
    <col min="16130" max="16130" width="4.33203125" style="599" customWidth="1"/>
    <col min="16131" max="16131" width="9.33203125" style="599" customWidth="1"/>
    <col min="16132" max="16132" width="2.88671875" style="599" customWidth="1"/>
    <col min="16133" max="16133" width="9.33203125" style="599" customWidth="1"/>
    <col min="16134" max="16134" width="2.88671875" style="599" customWidth="1"/>
    <col min="16135" max="16135" width="4.33203125" style="599" customWidth="1"/>
    <col min="16136" max="16136" width="2.88671875" style="599" customWidth="1"/>
    <col min="16137" max="16137" width="20.6640625" style="599" customWidth="1"/>
    <col min="16138" max="16138" width="16.44140625" style="599" customWidth="1"/>
    <col min="16139" max="16376" width="8.6640625" style="599"/>
    <col min="16377" max="16384" width="8.6640625" style="599" customWidth="1"/>
  </cols>
  <sheetData>
    <row r="1" spans="1:15">
      <c r="A1" s="515"/>
      <c r="O1" s="600" t="s">
        <v>953</v>
      </c>
    </row>
    <row r="2" spans="1:15">
      <c r="B2" s="601"/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1"/>
      <c r="O2" s="517" t="s">
        <v>797</v>
      </c>
    </row>
    <row r="3" spans="1:15">
      <c r="A3" s="1177" t="s">
        <v>4</v>
      </c>
      <c r="B3" s="1177"/>
      <c r="C3" s="1177"/>
      <c r="D3" s="1177"/>
      <c r="E3" s="1177"/>
      <c r="F3" s="1177"/>
      <c r="G3" s="1177"/>
      <c r="H3" s="1177"/>
      <c r="I3" s="1177"/>
      <c r="J3" s="1177"/>
      <c r="K3" s="1177"/>
      <c r="L3" s="1177"/>
      <c r="M3" s="1177"/>
      <c r="N3" s="1177"/>
      <c r="O3" s="1177"/>
    </row>
    <row r="4" spans="1:15">
      <c r="A4" s="1181" t="s">
        <v>954</v>
      </c>
      <c r="B4" s="1181"/>
      <c r="C4" s="1181"/>
      <c r="D4" s="1181"/>
      <c r="E4" s="1181"/>
      <c r="F4" s="1181"/>
      <c r="G4" s="1181"/>
      <c r="H4" s="1181"/>
      <c r="I4" s="1181"/>
      <c r="J4" s="1181"/>
      <c r="K4" s="1181"/>
      <c r="L4" s="1181"/>
      <c r="M4" s="1181"/>
      <c r="N4" s="1181"/>
      <c r="O4" s="1181"/>
    </row>
    <row r="5" spans="1:15">
      <c r="A5" s="1173" t="str">
        <f>'A2'!A5</f>
        <v>Prior Years Ended December 31, 2022 and 2023, Test Year Ended June 30, 2024</v>
      </c>
      <c r="B5" s="1173"/>
      <c r="C5" s="1173"/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</row>
    <row r="6" spans="1:15">
      <c r="A6" s="1173" t="str">
        <f>'A2'!A6</f>
        <v>and Projected Year Ended June 30, 2025</v>
      </c>
      <c r="B6" s="1173"/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3"/>
      <c r="N6" s="1173"/>
      <c r="O6" s="1173"/>
    </row>
    <row r="7" spans="1:15">
      <c r="A7" s="1182" t="s">
        <v>955</v>
      </c>
      <c r="B7" s="1182"/>
      <c r="C7" s="1182"/>
      <c r="D7" s="1182"/>
      <c r="E7" s="1182"/>
      <c r="F7" s="1182"/>
      <c r="G7" s="1182"/>
      <c r="H7" s="1182"/>
      <c r="I7" s="1182"/>
      <c r="J7" s="1182"/>
      <c r="K7" s="1182"/>
      <c r="L7" s="1182"/>
      <c r="M7" s="1182"/>
      <c r="N7" s="1182"/>
      <c r="O7" s="1182"/>
    </row>
    <row r="8" spans="1:15">
      <c r="B8" s="601"/>
      <c r="C8" s="601"/>
      <c r="D8" s="601"/>
      <c r="E8" s="601"/>
      <c r="F8" s="601"/>
      <c r="G8" s="601"/>
      <c r="H8" s="601"/>
      <c r="I8" s="601"/>
      <c r="J8" s="601"/>
      <c r="K8" s="602" t="s">
        <v>367</v>
      </c>
      <c r="L8" s="601"/>
      <c r="M8" s="601"/>
      <c r="N8" s="601" t="s">
        <v>181</v>
      </c>
      <c r="O8" s="601"/>
    </row>
    <row r="9" spans="1:15" ht="20.399999999999999">
      <c r="E9" s="1179" t="str">
        <f>'A3'!E10</f>
        <v>Prior Years Ended  
December 31,</v>
      </c>
      <c r="F9" s="1180"/>
      <c r="G9" s="1180"/>
      <c r="H9" s="1108"/>
      <c r="I9" s="1109" t="str">
        <f>'A3'!I10</f>
        <v>Test Year Ended
June 30, 2024</v>
      </c>
      <c r="J9" s="1108"/>
      <c r="K9" s="1179" t="str">
        <f>'A3'!K9</f>
        <v>Projected Year
June 30, 2025</v>
      </c>
      <c r="L9" s="1180"/>
      <c r="M9" s="1180"/>
      <c r="O9" s="604"/>
    </row>
    <row r="10" spans="1:15">
      <c r="A10" s="590" t="s">
        <v>331</v>
      </c>
      <c r="E10" s="605"/>
      <c r="F10" s="601"/>
      <c r="G10" s="601"/>
      <c r="I10" s="606"/>
      <c r="K10" s="604" t="s">
        <v>851</v>
      </c>
      <c r="L10" s="601"/>
      <c r="M10" s="601" t="s">
        <v>816</v>
      </c>
      <c r="O10" s="590" t="s">
        <v>331</v>
      </c>
    </row>
    <row r="11" spans="1:15">
      <c r="A11" s="593" t="s">
        <v>333</v>
      </c>
      <c r="C11" s="607" t="s">
        <v>0</v>
      </c>
      <c r="D11" s="604"/>
      <c r="E11" s="869" t="str">
        <f>'A3'!E12</f>
        <v>2022 (a)</v>
      </c>
      <c r="F11" s="604"/>
      <c r="G11" s="869" t="str">
        <f>'A3'!G12</f>
        <v>2023  (a)</v>
      </c>
      <c r="H11" s="604"/>
      <c r="I11" s="869" t="s">
        <v>1535</v>
      </c>
      <c r="J11" s="604"/>
      <c r="K11" s="603" t="s">
        <v>958</v>
      </c>
      <c r="L11" s="606"/>
      <c r="M11" s="603" t="s">
        <v>958</v>
      </c>
      <c r="N11" s="604"/>
      <c r="O11" s="593" t="s">
        <v>333</v>
      </c>
    </row>
    <row r="12" spans="1:15">
      <c r="A12" s="604"/>
      <c r="E12" s="604"/>
      <c r="F12" s="604"/>
      <c r="G12" s="604"/>
      <c r="H12" s="604"/>
      <c r="I12" s="604"/>
      <c r="J12" s="604"/>
      <c r="K12" s="604"/>
      <c r="L12" s="604"/>
      <c r="M12" s="604"/>
      <c r="O12" s="604"/>
    </row>
    <row r="13" spans="1:15">
      <c r="A13" s="604"/>
      <c r="E13" s="604"/>
      <c r="F13" s="604"/>
      <c r="G13" s="604"/>
      <c r="H13" s="604"/>
      <c r="I13" s="604"/>
      <c r="J13" s="604"/>
      <c r="K13" s="604"/>
      <c r="L13" s="604"/>
      <c r="M13" s="604"/>
      <c r="O13" s="604"/>
    </row>
    <row r="14" spans="1:15">
      <c r="A14" s="604">
        <v>1</v>
      </c>
      <c r="C14" s="599" t="s">
        <v>959</v>
      </c>
      <c r="E14" s="608">
        <f>'E3'!D29</f>
        <v>34160</v>
      </c>
      <c r="F14" s="608"/>
      <c r="G14" s="608">
        <f>'E3'!C29</f>
        <v>18539</v>
      </c>
      <c r="H14" s="608"/>
      <c r="I14" s="608">
        <f>'E3'!B29</f>
        <v>25906</v>
      </c>
      <c r="J14" s="608"/>
      <c r="K14" s="608">
        <f>'F2'!G28</f>
        <v>19275</v>
      </c>
      <c r="L14" s="608"/>
      <c r="M14" s="608">
        <f>'F2'!I28</f>
        <v>33021</v>
      </c>
      <c r="O14" s="604">
        <f>+A14</f>
        <v>1</v>
      </c>
    </row>
    <row r="15" spans="1:15">
      <c r="A15" s="604"/>
      <c r="E15" s="609"/>
      <c r="F15" s="610"/>
      <c r="G15" s="609"/>
      <c r="H15" s="608"/>
      <c r="I15" s="609"/>
      <c r="J15" s="608"/>
      <c r="K15" s="609"/>
      <c r="L15" s="608"/>
      <c r="M15" s="609"/>
      <c r="O15" s="604"/>
    </row>
    <row r="16" spans="1:15">
      <c r="A16" s="604">
        <f>+A14+1</f>
        <v>2</v>
      </c>
      <c r="C16" s="516" t="s">
        <v>960</v>
      </c>
      <c r="E16" s="611">
        <f>'E3'!D34</f>
        <v>-31001</v>
      </c>
      <c r="F16" s="611"/>
      <c r="G16" s="611">
        <f>'E3'!C34</f>
        <v>-35079</v>
      </c>
      <c r="H16" s="611"/>
      <c r="I16" s="611">
        <f>'E3'!B34</f>
        <v>-34594</v>
      </c>
      <c r="J16" s="611"/>
      <c r="K16" s="611">
        <f>'F2'!G35</f>
        <v>-34897</v>
      </c>
      <c r="L16" s="611"/>
      <c r="M16" s="611">
        <f>'F2'!I35</f>
        <v>-34897</v>
      </c>
      <c r="O16" s="604">
        <f>+A16</f>
        <v>2</v>
      </c>
    </row>
    <row r="17" spans="1:15">
      <c r="A17" s="604"/>
      <c r="E17" s="611"/>
      <c r="F17" s="611"/>
      <c r="G17" s="611"/>
      <c r="H17" s="611"/>
      <c r="I17" s="611"/>
      <c r="J17" s="611"/>
      <c r="K17" s="611"/>
      <c r="L17" s="611"/>
      <c r="M17" s="611"/>
      <c r="O17" s="604"/>
    </row>
    <row r="18" spans="1:15">
      <c r="A18" s="604">
        <f>+A16+1</f>
        <v>3</v>
      </c>
      <c r="C18" s="599" t="s">
        <v>961</v>
      </c>
      <c r="E18" s="612">
        <f>'E3'!D43</f>
        <v>8167</v>
      </c>
      <c r="F18" s="611"/>
      <c r="G18" s="612">
        <f>'E3'!C43</f>
        <v>7252</v>
      </c>
      <c r="H18" s="611"/>
      <c r="I18" s="612">
        <f>'E3'!B43</f>
        <v>19106</v>
      </c>
      <c r="J18" s="611"/>
      <c r="K18" s="612">
        <f>'F2'!G43</f>
        <v>11665.048698602521</v>
      </c>
      <c r="L18" s="611"/>
      <c r="M18" s="612">
        <f>'F2'!I43</f>
        <v>0</v>
      </c>
      <c r="O18" s="604">
        <f>+A18</f>
        <v>3</v>
      </c>
    </row>
    <row r="19" spans="1:15">
      <c r="A19" s="604"/>
      <c r="E19" s="611"/>
      <c r="F19" s="611"/>
      <c r="G19" s="611"/>
      <c r="H19" s="611"/>
      <c r="I19" s="611"/>
      <c r="J19" s="611"/>
      <c r="K19" s="611"/>
      <c r="L19" s="611"/>
      <c r="M19" s="611"/>
      <c r="O19" s="604"/>
    </row>
    <row r="20" spans="1:15" ht="10.8" thickBot="1">
      <c r="A20" s="604">
        <f>+A18+1</f>
        <v>4</v>
      </c>
      <c r="C20" s="599" t="s">
        <v>962</v>
      </c>
      <c r="E20" s="613">
        <f>SUM(E14:E19)</f>
        <v>11326</v>
      </c>
      <c r="F20" s="608"/>
      <c r="G20" s="613">
        <f>SUM(G14:G19)</f>
        <v>-9288</v>
      </c>
      <c r="H20" s="608"/>
      <c r="I20" s="613">
        <f>SUM(I14:I19)</f>
        <v>10418</v>
      </c>
      <c r="J20" s="608"/>
      <c r="K20" s="613">
        <f>SUM(K14:K19)</f>
        <v>-3956.9513013974793</v>
      </c>
      <c r="L20" s="608"/>
      <c r="M20" s="613">
        <f>SUM(M14:M19)</f>
        <v>-1876</v>
      </c>
      <c r="O20" s="604">
        <f>+A20</f>
        <v>4</v>
      </c>
    </row>
    <row r="21" spans="1:15" ht="10.8" thickTop="1">
      <c r="A21" s="604"/>
      <c r="E21" s="611"/>
      <c r="F21" s="611"/>
      <c r="G21" s="611"/>
      <c r="H21" s="611"/>
      <c r="I21" s="611"/>
      <c r="J21" s="611"/>
      <c r="K21" s="611"/>
      <c r="L21" s="611"/>
      <c r="M21" s="611"/>
      <c r="O21" s="604"/>
    </row>
    <row r="22" spans="1:15">
      <c r="A22" s="604"/>
      <c r="E22" s="611"/>
      <c r="F22" s="611"/>
      <c r="G22" s="611"/>
      <c r="H22" s="611"/>
      <c r="I22" s="611"/>
      <c r="J22" s="611"/>
      <c r="K22" s="611"/>
      <c r="L22" s="611"/>
      <c r="M22" s="611"/>
      <c r="O22" s="604"/>
    </row>
    <row r="23" spans="1:15">
      <c r="A23" s="604"/>
      <c r="E23" s="609"/>
      <c r="G23" s="609"/>
      <c r="I23" s="609"/>
      <c r="K23" s="609"/>
      <c r="M23" s="609"/>
    </row>
    <row r="24" spans="1:15">
      <c r="A24" s="604"/>
      <c r="E24" s="609"/>
      <c r="G24" s="609"/>
      <c r="I24" s="609"/>
      <c r="K24" s="609"/>
      <c r="M24" s="609"/>
    </row>
    <row r="25" spans="1:15">
      <c r="A25" s="604"/>
      <c r="C25" s="532"/>
      <c r="E25" s="609"/>
      <c r="G25" s="609"/>
      <c r="I25" s="609"/>
      <c r="K25" s="609"/>
      <c r="M25" s="609"/>
    </row>
    <row r="26" spans="1:15">
      <c r="A26" s="604"/>
      <c r="E26" s="609"/>
      <c r="G26" s="609"/>
      <c r="I26" s="609"/>
      <c r="K26" s="609"/>
      <c r="M26" s="609"/>
    </row>
    <row r="27" spans="1:15">
      <c r="A27" s="604"/>
      <c r="E27" s="614" t="s">
        <v>826</v>
      </c>
      <c r="G27" s="609"/>
      <c r="I27" s="609"/>
      <c r="K27" s="609"/>
      <c r="M27" s="609"/>
    </row>
    <row r="28" spans="1:15">
      <c r="E28" s="604" t="s">
        <v>963</v>
      </c>
    </row>
    <row r="29" spans="1:15">
      <c r="E29" s="604" t="s">
        <v>964</v>
      </c>
    </row>
    <row r="33" spans="1:1">
      <c r="A33" s="547" t="s">
        <v>965</v>
      </c>
    </row>
    <row r="35" spans="1:1">
      <c r="A35" s="547" t="s">
        <v>835</v>
      </c>
    </row>
    <row r="36" spans="1:1">
      <c r="A36" s="548" t="s">
        <v>966</v>
      </c>
    </row>
    <row r="37" spans="1:1">
      <c r="A37" s="548" t="s">
        <v>967</v>
      </c>
    </row>
  </sheetData>
  <mergeCells count="7">
    <mergeCell ref="K9:M9"/>
    <mergeCell ref="E9:G9"/>
    <mergeCell ref="A3:O3"/>
    <mergeCell ref="A4:O4"/>
    <mergeCell ref="A5:O5"/>
    <mergeCell ref="A6:O6"/>
    <mergeCell ref="A7:O7"/>
  </mergeCells>
  <printOptions horizontalCentered="1"/>
  <pageMargins left="0.7" right="0.7" top="0.75" bottom="0.75" header="0.3" footer="0.3"/>
  <pageSetup fitToHeight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EFDEB-309A-4C6C-A527-DE1526EA4598}">
  <sheetPr syncVertical="1" syncRef="A1" transitionEvaluation="1" transitionEntry="1">
    <tabColor rgb="FFFFFFCC"/>
    <pageSetUpPr fitToPage="1"/>
  </sheetPr>
  <dimension ref="A1:I55"/>
  <sheetViews>
    <sheetView showGridLines="0" zoomScaleNormal="100" zoomScaleSheetLayoutView="100" workbookViewId="0"/>
  </sheetViews>
  <sheetFormatPr defaultColWidth="7.109375" defaultRowHeight="10.199999999999999"/>
  <cols>
    <col min="1" max="1" width="3.88671875" style="516" customWidth="1"/>
    <col min="2" max="2" width="2.88671875" style="516" customWidth="1"/>
    <col min="3" max="3" width="37" style="516" bestFit="1" customWidth="1"/>
    <col min="4" max="4" width="2.88671875" style="516" customWidth="1"/>
    <col min="5" max="5" width="15" style="516" customWidth="1"/>
    <col min="6" max="6" width="2.88671875" style="516" customWidth="1"/>
    <col min="7" max="7" width="14.109375" style="516" customWidth="1"/>
    <col min="8" max="8" width="2.88671875" style="516" customWidth="1"/>
    <col min="9" max="9" width="3.88671875" style="516" customWidth="1"/>
    <col min="10" max="16384" width="7.109375" style="516"/>
  </cols>
  <sheetData>
    <row r="1" spans="1:9">
      <c r="A1" s="615"/>
      <c r="B1" s="615"/>
      <c r="C1" s="156"/>
      <c r="D1" s="156"/>
      <c r="E1" s="156"/>
      <c r="F1" s="156"/>
      <c r="G1" s="156"/>
      <c r="H1" s="156"/>
      <c r="I1" s="485" t="s">
        <v>968</v>
      </c>
    </row>
    <row r="2" spans="1:9">
      <c r="A2" s="156"/>
      <c r="B2" s="156"/>
      <c r="C2" s="157"/>
      <c r="D2" s="157"/>
      <c r="E2" s="157"/>
      <c r="F2" s="157"/>
      <c r="G2" s="157"/>
      <c r="H2" s="157"/>
      <c r="I2" s="485" t="s">
        <v>797</v>
      </c>
    </row>
    <row r="3" spans="1:9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</row>
    <row r="4" spans="1:9">
      <c r="A4" s="1166" t="s">
        <v>969</v>
      </c>
      <c r="B4" s="1166"/>
      <c r="C4" s="1166"/>
      <c r="D4" s="1166"/>
      <c r="E4" s="1166"/>
      <c r="F4" s="1166"/>
      <c r="G4" s="1166"/>
      <c r="H4" s="1166"/>
      <c r="I4" s="1166"/>
    </row>
    <row r="5" spans="1:9">
      <c r="A5" s="1166" t="str">
        <f>'A1'!A5:J5</f>
        <v>Test Year Ended June 30, 2024</v>
      </c>
      <c r="B5" s="1166"/>
      <c r="C5" s="1166"/>
      <c r="D5" s="1166"/>
      <c r="E5" s="1166"/>
      <c r="F5" s="1166"/>
      <c r="G5" s="1166"/>
      <c r="H5" s="1166"/>
      <c r="I5" s="1166"/>
    </row>
    <row r="6" spans="1:9">
      <c r="A6" s="1183" t="s">
        <v>799</v>
      </c>
      <c r="B6" s="1183"/>
      <c r="C6" s="1183"/>
      <c r="D6" s="1183"/>
      <c r="E6" s="1183"/>
      <c r="F6" s="1183"/>
      <c r="G6" s="1183"/>
      <c r="H6" s="1183"/>
      <c r="I6" s="1183"/>
    </row>
    <row r="7" spans="1:9">
      <c r="A7" s="156"/>
      <c r="B7" s="156"/>
      <c r="C7" s="156"/>
      <c r="D7" s="157"/>
      <c r="E7" s="156"/>
      <c r="F7" s="156"/>
      <c r="G7" s="156"/>
      <c r="H7" s="157"/>
      <c r="I7" s="156"/>
    </row>
    <row r="8" spans="1:9">
      <c r="A8" s="156"/>
      <c r="B8" s="156"/>
      <c r="C8" s="156"/>
      <c r="D8" s="157"/>
      <c r="E8" s="1184" t="s">
        <v>970</v>
      </c>
      <c r="F8" s="1184"/>
      <c r="G8" s="1184"/>
      <c r="H8" s="157"/>
      <c r="I8" s="489"/>
    </row>
    <row r="9" spans="1:9" s="524" customFormat="1" ht="30.6">
      <c r="A9" s="617" t="s">
        <v>800</v>
      </c>
      <c r="B9" s="618"/>
      <c r="C9" s="1134" t="s">
        <v>0</v>
      </c>
      <c r="D9" s="157"/>
      <c r="E9" s="617" t="s">
        <v>971</v>
      </c>
      <c r="F9" s="618"/>
      <c r="G9" s="617" t="s">
        <v>972</v>
      </c>
      <c r="H9" s="619"/>
      <c r="I9" s="617" t="s">
        <v>800</v>
      </c>
    </row>
    <row r="10" spans="1:9">
      <c r="A10" s="620"/>
      <c r="B10" s="156"/>
      <c r="C10" s="620"/>
      <c r="D10" s="157"/>
      <c r="E10" s="491"/>
      <c r="F10" s="491"/>
      <c r="G10" s="491"/>
      <c r="H10" s="157"/>
      <c r="I10" s="620"/>
    </row>
    <row r="11" spans="1:9">
      <c r="A11" s="160">
        <v>1</v>
      </c>
      <c r="B11" s="160"/>
      <c r="C11" s="156" t="s">
        <v>973</v>
      </c>
      <c r="D11" s="156"/>
      <c r="E11" s="490">
        <f>'B2 P1'!I11</f>
        <v>592552.81560545147</v>
      </c>
      <c r="F11" s="490"/>
      <c r="G11" s="490">
        <f>'B3 P1'!I11</f>
        <v>1343561.3383023136</v>
      </c>
      <c r="H11" s="490"/>
      <c r="I11" s="160">
        <f>+A11</f>
        <v>1</v>
      </c>
    </row>
    <row r="12" spans="1:9">
      <c r="A12" s="160"/>
      <c r="B12" s="160"/>
      <c r="C12" s="156" t="s">
        <v>181</v>
      </c>
      <c r="D12" s="156"/>
      <c r="E12" s="490"/>
      <c r="F12" s="485"/>
      <c r="G12" s="485"/>
      <c r="H12" s="485"/>
      <c r="I12" s="160"/>
    </row>
    <row r="13" spans="1:9">
      <c r="A13" s="160">
        <f>+A11+1</f>
        <v>2</v>
      </c>
      <c r="B13" s="160"/>
      <c r="C13" s="156" t="s">
        <v>974</v>
      </c>
      <c r="D13" s="156"/>
      <c r="E13" s="505">
        <f>'B2 P1'!I13</f>
        <v>230512.14560347926</v>
      </c>
      <c r="F13" s="505"/>
      <c r="G13" s="505">
        <f>'B3 P1'!I13</f>
        <v>579365.46338479151</v>
      </c>
      <c r="H13" s="505"/>
      <c r="I13" s="160">
        <f>+A13</f>
        <v>2</v>
      </c>
    </row>
    <row r="14" spans="1:9">
      <c r="A14" s="160"/>
      <c r="B14" s="160"/>
      <c r="C14" s="156"/>
      <c r="D14" s="156"/>
      <c r="E14" s="621"/>
      <c r="F14" s="505"/>
      <c r="G14" s="621"/>
      <c r="H14" s="505"/>
      <c r="I14" s="160"/>
    </row>
    <row r="15" spans="1:9">
      <c r="A15" s="160">
        <f>+A13+1</f>
        <v>3</v>
      </c>
      <c r="B15" s="160"/>
      <c r="C15" s="156" t="s">
        <v>975</v>
      </c>
      <c r="D15" s="156"/>
      <c r="E15" s="505">
        <f>+E11-E13</f>
        <v>362040.67000197223</v>
      </c>
      <c r="F15" s="505"/>
      <c r="G15" s="505">
        <f>(+G11-G13)</f>
        <v>764195.87491752207</v>
      </c>
      <c r="H15" s="505"/>
      <c r="I15" s="160">
        <f>+A15</f>
        <v>3</v>
      </c>
    </row>
    <row r="16" spans="1:9">
      <c r="A16" s="160"/>
      <c r="B16" s="160"/>
      <c r="C16" s="156"/>
      <c r="D16" s="156"/>
      <c r="E16" s="505"/>
      <c r="F16" s="505"/>
      <c r="G16" s="505"/>
      <c r="H16" s="505"/>
      <c r="I16" s="160"/>
    </row>
    <row r="17" spans="1:9">
      <c r="A17" s="160">
        <f>+A15+1</f>
        <v>4</v>
      </c>
      <c r="B17" s="160"/>
      <c r="C17" s="156" t="s">
        <v>976</v>
      </c>
      <c r="D17" s="156"/>
      <c r="E17" s="505">
        <f>'B2 P1'!I17</f>
        <v>0</v>
      </c>
      <c r="F17" s="505"/>
      <c r="G17" s="505">
        <f>'B3 P1'!I17</f>
        <v>0</v>
      </c>
      <c r="H17" s="505"/>
      <c r="I17" s="160">
        <f>A17</f>
        <v>4</v>
      </c>
    </row>
    <row r="18" spans="1:9">
      <c r="A18" s="160"/>
      <c r="B18" s="160"/>
      <c r="C18" s="156"/>
      <c r="D18" s="156"/>
      <c r="E18" s="621"/>
      <c r="F18" s="505"/>
      <c r="G18" s="621"/>
      <c r="H18" s="505"/>
      <c r="I18" s="160"/>
    </row>
    <row r="19" spans="1:9">
      <c r="A19" s="160">
        <f>A17+1</f>
        <v>5</v>
      </c>
      <c r="B19" s="160"/>
      <c r="C19" s="156" t="s">
        <v>977</v>
      </c>
      <c r="D19" s="156"/>
      <c r="E19" s="505">
        <f>E15+E17</f>
        <v>362040.67000197223</v>
      </c>
      <c r="F19" s="505"/>
      <c r="G19" s="505">
        <f>G15+G17</f>
        <v>764195.87491752207</v>
      </c>
      <c r="H19" s="505"/>
      <c r="I19" s="160">
        <f>+A19</f>
        <v>5</v>
      </c>
    </row>
    <row r="20" spans="1:9">
      <c r="A20" s="160"/>
      <c r="B20" s="160"/>
      <c r="C20" s="156" t="s">
        <v>181</v>
      </c>
      <c r="D20" s="156"/>
      <c r="E20" s="505" t="s">
        <v>181</v>
      </c>
      <c r="F20" s="505"/>
      <c r="G20" s="505" t="s">
        <v>181</v>
      </c>
      <c r="H20" s="505"/>
      <c r="I20" s="160"/>
    </row>
    <row r="21" spans="1:9">
      <c r="A21" s="160">
        <f>+A19+1</f>
        <v>6</v>
      </c>
      <c r="B21" s="160"/>
      <c r="C21" s="156" t="s">
        <v>978</v>
      </c>
      <c r="D21" s="156"/>
      <c r="E21" s="505">
        <f>'B2 P1'!I21</f>
        <v>-5445.15</v>
      </c>
      <c r="F21" s="505"/>
      <c r="G21" s="505">
        <f>'B3 P1'!I21</f>
        <v>-6412.6110028692692</v>
      </c>
      <c r="H21" s="505"/>
      <c r="I21" s="160">
        <f>+A21</f>
        <v>6</v>
      </c>
    </row>
    <row r="22" spans="1:9">
      <c r="A22" s="160"/>
      <c r="B22" s="160"/>
      <c r="C22" s="156"/>
      <c r="D22" s="156"/>
      <c r="E22" s="505"/>
      <c r="F22" s="505"/>
      <c r="G22" s="505"/>
      <c r="H22" s="505"/>
      <c r="I22" s="160"/>
    </row>
    <row r="23" spans="1:9">
      <c r="A23" s="160">
        <f>+A21+1</f>
        <v>7</v>
      </c>
      <c r="B23" s="160"/>
      <c r="C23" s="156" t="s">
        <v>979</v>
      </c>
      <c r="D23" s="156"/>
      <c r="E23" s="505">
        <f>'B2 P1'!I23</f>
        <v>-1598.8227400000001</v>
      </c>
      <c r="F23" s="505"/>
      <c r="G23" s="505">
        <f>'B3 P1'!I23</f>
        <v>-1598.8227400000001</v>
      </c>
      <c r="H23" s="505"/>
      <c r="I23" s="160">
        <f>+A23</f>
        <v>7</v>
      </c>
    </row>
    <row r="24" spans="1:9">
      <c r="A24" s="160"/>
      <c r="B24" s="160"/>
      <c r="C24" s="156"/>
      <c r="D24" s="156"/>
      <c r="E24" s="505"/>
      <c r="F24" s="505"/>
      <c r="G24" s="505"/>
      <c r="H24" s="505"/>
      <c r="I24" s="160"/>
    </row>
    <row r="25" spans="1:9">
      <c r="A25" s="160">
        <f>A23+1</f>
        <v>8</v>
      </c>
      <c r="B25" s="160"/>
      <c r="C25" s="156" t="s">
        <v>980</v>
      </c>
      <c r="D25" s="156"/>
      <c r="E25" s="505">
        <f>'B2 P1'!I25</f>
        <v>0</v>
      </c>
      <c r="F25" s="505"/>
      <c r="G25" s="505">
        <f>'B3 P1'!I25</f>
        <v>0</v>
      </c>
      <c r="H25" s="505"/>
      <c r="I25" s="160">
        <f>+A25</f>
        <v>8</v>
      </c>
    </row>
    <row r="26" spans="1:9">
      <c r="A26" s="156"/>
      <c r="B26" s="156"/>
      <c r="C26" s="156"/>
      <c r="D26" s="156"/>
      <c r="E26" s="505"/>
      <c r="F26" s="156"/>
      <c r="G26" s="156"/>
      <c r="H26" s="156"/>
      <c r="I26" s="156"/>
    </row>
    <row r="27" spans="1:9">
      <c r="A27" s="160">
        <f>A25+1</f>
        <v>9</v>
      </c>
      <c r="B27" s="160"/>
      <c r="C27" s="156" t="s">
        <v>981</v>
      </c>
      <c r="D27" s="156"/>
      <c r="E27" s="621">
        <f>'B2 P1'!I27</f>
        <v>-37645.144641083833</v>
      </c>
      <c r="F27" s="505"/>
      <c r="G27" s="621">
        <f>'B3 P1'!I27</f>
        <v>-93486.386201537578</v>
      </c>
      <c r="H27" s="505"/>
      <c r="I27" s="160">
        <f>+A27</f>
        <v>9</v>
      </c>
    </row>
    <row r="28" spans="1:9">
      <c r="A28" s="160">
        <f>+A27+1</f>
        <v>10</v>
      </c>
      <c r="B28" s="160"/>
      <c r="C28" s="156" t="s">
        <v>982</v>
      </c>
      <c r="D28" s="156"/>
      <c r="E28" s="505">
        <f>SUM(E21:E27)</f>
        <v>-44689.11738108383</v>
      </c>
      <c r="F28" s="505"/>
      <c r="G28" s="505">
        <f>SUM(G21:G27)</f>
        <v>-101497.81994440685</v>
      </c>
      <c r="H28" s="505"/>
      <c r="I28" s="160">
        <f>+A28</f>
        <v>10</v>
      </c>
    </row>
    <row r="29" spans="1:9">
      <c r="A29" s="160"/>
      <c r="B29" s="160"/>
      <c r="C29" s="156" t="s">
        <v>181</v>
      </c>
      <c r="D29" s="156"/>
      <c r="E29" s="505"/>
      <c r="F29" s="505"/>
      <c r="G29" s="505"/>
      <c r="H29" s="505"/>
      <c r="I29" s="160"/>
    </row>
    <row r="30" spans="1:9">
      <c r="A30" s="622">
        <f>+A28+1</f>
        <v>11</v>
      </c>
      <c r="B30" s="622"/>
      <c r="C30" s="156" t="s">
        <v>983</v>
      </c>
      <c r="D30" s="156"/>
      <c r="E30" s="505">
        <f>'B2 P1'!I30</f>
        <v>-2226.7551282017521</v>
      </c>
      <c r="F30" s="505"/>
      <c r="G30" s="505">
        <f>'B3 P1'!I30</f>
        <v>-2226.7551282017521</v>
      </c>
      <c r="H30" s="505"/>
      <c r="I30" s="160">
        <f>+A30</f>
        <v>11</v>
      </c>
    </row>
    <row r="31" spans="1:9">
      <c r="A31" s="622"/>
      <c r="B31" s="622"/>
      <c r="C31" s="156"/>
      <c r="D31" s="156"/>
      <c r="E31" s="505"/>
      <c r="F31" s="505"/>
      <c r="G31" s="505"/>
      <c r="H31" s="505"/>
      <c r="I31" s="622"/>
    </row>
    <row r="32" spans="1:9">
      <c r="A32" s="622">
        <f>+A30+1</f>
        <v>12</v>
      </c>
      <c r="B32" s="622"/>
      <c r="C32" s="156" t="s">
        <v>1775</v>
      </c>
      <c r="D32" s="156"/>
      <c r="E32" s="505">
        <f>'B2 P1'!I32</f>
        <v>0</v>
      </c>
      <c r="F32" s="505"/>
      <c r="G32" s="505">
        <f>'B3 P1'!I32</f>
        <v>0</v>
      </c>
      <c r="H32" s="505"/>
      <c r="I32" s="160">
        <f>+A32</f>
        <v>12</v>
      </c>
    </row>
    <row r="33" spans="1:9">
      <c r="A33" s="622"/>
      <c r="B33" s="622"/>
      <c r="C33" s="156"/>
      <c r="D33" s="156"/>
      <c r="E33" s="505"/>
      <c r="F33" s="505"/>
      <c r="G33" s="505"/>
      <c r="H33" s="505"/>
      <c r="I33" s="622"/>
    </row>
    <row r="34" spans="1:9">
      <c r="A34" s="622">
        <f>+A32+1</f>
        <v>13</v>
      </c>
      <c r="B34" s="622"/>
      <c r="C34" s="156" t="s">
        <v>984</v>
      </c>
      <c r="D34" s="156"/>
      <c r="E34" s="505">
        <f>'B2 P1'!I34</f>
        <v>1094.51856</v>
      </c>
      <c r="F34" s="505"/>
      <c r="G34" s="505">
        <f>'B3 P1'!I34</f>
        <v>1094.51856</v>
      </c>
      <c r="H34" s="505"/>
      <c r="I34" s="160">
        <f>+A34</f>
        <v>13</v>
      </c>
    </row>
    <row r="35" spans="1:9">
      <c r="A35" s="622"/>
      <c r="B35" s="622"/>
      <c r="C35" s="156"/>
      <c r="D35" s="156"/>
      <c r="E35" s="505"/>
      <c r="F35" s="505"/>
      <c r="G35" s="505"/>
      <c r="H35" s="505"/>
      <c r="I35" s="622"/>
    </row>
    <row r="36" spans="1:9">
      <c r="A36" s="622">
        <f>+A34+1</f>
        <v>14</v>
      </c>
      <c r="B36" s="622"/>
      <c r="C36" s="156" t="s">
        <v>985</v>
      </c>
      <c r="D36" s="156"/>
      <c r="E36" s="621">
        <f>'B2 P1'!I36</f>
        <v>-24923.934369999999</v>
      </c>
      <c r="F36" s="505"/>
      <c r="G36" s="621">
        <f>'B3 P1'!I36</f>
        <v>-24923.934369999999</v>
      </c>
      <c r="H36" s="505"/>
      <c r="I36" s="160">
        <f>+A36</f>
        <v>14</v>
      </c>
    </row>
    <row r="37" spans="1:9">
      <c r="A37" s="622"/>
      <c r="B37" s="622"/>
      <c r="C37" s="156" t="s">
        <v>181</v>
      </c>
      <c r="D37" s="156"/>
      <c r="E37" s="505"/>
      <c r="F37" s="505"/>
      <c r="G37" s="505"/>
      <c r="H37" s="505"/>
      <c r="I37" s="622"/>
    </row>
    <row r="38" spans="1:9" ht="10.8" thickBot="1">
      <c r="A38" s="622">
        <f>+A36+1</f>
        <v>15</v>
      </c>
      <c r="B38" s="622"/>
      <c r="C38" s="157" t="s">
        <v>986</v>
      </c>
      <c r="D38" s="157"/>
      <c r="E38" s="498">
        <f>E19+E28+E30+E32+E34+E36</f>
        <v>291295.38168268668</v>
      </c>
      <c r="F38" s="490"/>
      <c r="G38" s="498">
        <f>G19+G28+G30+G32+G34+G36</f>
        <v>636641.88403491338</v>
      </c>
      <c r="H38" s="490"/>
      <c r="I38" s="160">
        <f>+A38</f>
        <v>15</v>
      </c>
    </row>
    <row r="39" spans="1:9" ht="10.8" thickTop="1">
      <c r="A39" s="156"/>
      <c r="B39" s="156"/>
      <c r="C39" s="156"/>
      <c r="D39" s="156"/>
      <c r="E39" s="485"/>
      <c r="F39" s="485"/>
      <c r="G39" s="485"/>
      <c r="H39" s="485"/>
      <c r="I39" s="156"/>
    </row>
    <row r="40" spans="1:9">
      <c r="A40" s="156"/>
      <c r="B40" s="156"/>
      <c r="C40" s="156"/>
      <c r="D40" s="156"/>
      <c r="H40" s="623"/>
      <c r="I40" s="156"/>
    </row>
    <row r="41" spans="1:9">
      <c r="A41" s="156"/>
      <c r="B41" s="156"/>
      <c r="C41" s="512" t="s">
        <v>826</v>
      </c>
      <c r="D41" s="512"/>
      <c r="E41" s="545" t="s">
        <v>990</v>
      </c>
      <c r="H41" s="156"/>
      <c r="I41" s="156"/>
    </row>
    <row r="42" spans="1:9">
      <c r="A42" s="156"/>
      <c r="B42" s="156"/>
      <c r="C42" s="489" t="s">
        <v>987</v>
      </c>
      <c r="D42" s="489"/>
      <c r="E42" s="519" t="s">
        <v>991</v>
      </c>
      <c r="F42" s="160"/>
      <c r="G42" s="156" t="s">
        <v>181</v>
      </c>
      <c r="H42" s="156"/>
      <c r="I42" s="156"/>
    </row>
    <row r="43" spans="1:9">
      <c r="A43" s="156"/>
      <c r="B43" s="156"/>
      <c r="C43" s="489" t="s">
        <v>989</v>
      </c>
      <c r="D43" s="489"/>
      <c r="E43" s="156"/>
      <c r="F43" s="156"/>
      <c r="G43" s="156"/>
      <c r="H43" s="156"/>
      <c r="I43" s="156"/>
    </row>
    <row r="44" spans="1:9">
      <c r="C44" s="520"/>
    </row>
    <row r="51" spans="1:7">
      <c r="A51" s="547" t="s">
        <v>992</v>
      </c>
      <c r="C51" s="520"/>
    </row>
    <row r="52" spans="1:7">
      <c r="C52" s="520"/>
    </row>
    <row r="53" spans="1:7">
      <c r="A53" s="547" t="s">
        <v>835</v>
      </c>
      <c r="B53" s="558"/>
      <c r="C53" s="558"/>
      <c r="D53" s="547"/>
    </row>
    <row r="54" spans="1:7">
      <c r="A54" s="548" t="s">
        <v>993</v>
      </c>
      <c r="B54" s="558"/>
      <c r="C54" s="558"/>
      <c r="D54" s="624" t="s">
        <v>994</v>
      </c>
      <c r="E54" s="162">
        <f>'Rate Base'!H143/1000</f>
        <v>291295.38168268651</v>
      </c>
      <c r="F54" s="156"/>
      <c r="G54" s="625">
        <f>'Rate Base (RCN)'!H143/1000</f>
        <v>636641.88403491373</v>
      </c>
    </row>
    <row r="55" spans="1:7">
      <c r="A55" s="548"/>
      <c r="D55" s="531" t="s">
        <v>3</v>
      </c>
      <c r="E55" s="871">
        <f>E54-E38</f>
        <v>0</v>
      </c>
      <c r="F55" s="512"/>
      <c r="G55" s="871">
        <f>G54-G38</f>
        <v>0</v>
      </c>
    </row>
  </sheetData>
  <mergeCells count="5">
    <mergeCell ref="A3:I3"/>
    <mergeCell ref="A4:I4"/>
    <mergeCell ref="A5:I5"/>
    <mergeCell ref="A6:I6"/>
    <mergeCell ref="E8:G8"/>
  </mergeCells>
  <printOptions horizontalCentered="1"/>
  <pageMargins left="0.7" right="0.7" top="0.75" bottom="0.75" header="0.3" footer="0.3"/>
  <pageSetup fitToHeight="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E5D45-0F3C-4B2D-9661-74A4A7DEC18A}">
  <sheetPr syncVertical="1" syncRef="A1" transitionEvaluation="1" transitionEntry="1">
    <tabColor rgb="FFFFFFCC"/>
    <pageSetUpPr fitToPage="1"/>
  </sheetPr>
  <dimension ref="A1:K70"/>
  <sheetViews>
    <sheetView showGridLines="0" zoomScaleNormal="100" zoomScaleSheetLayoutView="100" workbookViewId="0"/>
  </sheetViews>
  <sheetFormatPr defaultColWidth="7.109375" defaultRowHeight="10.199999999999999"/>
  <cols>
    <col min="1" max="1" width="3.88671875" style="519" customWidth="1"/>
    <col min="2" max="2" width="2.88671875" style="516" customWidth="1"/>
    <col min="3" max="3" width="37" style="516" bestFit="1" customWidth="1"/>
    <col min="4" max="4" width="2.88671875" style="516" customWidth="1"/>
    <col min="5" max="5" width="11.109375" style="516" customWidth="1"/>
    <col min="6" max="6" width="2.88671875" style="516" customWidth="1"/>
    <col min="7" max="7" width="11.109375" style="516" customWidth="1"/>
    <col min="8" max="8" width="2.88671875" style="516" customWidth="1"/>
    <col min="9" max="9" width="11.109375" style="516" customWidth="1"/>
    <col min="10" max="10" width="2.88671875" style="516" customWidth="1"/>
    <col min="11" max="11" width="3.88671875" style="516" customWidth="1"/>
    <col min="12" max="16384" width="7.109375" style="516"/>
  </cols>
  <sheetData>
    <row r="1" spans="1:11">
      <c r="A1" s="555"/>
      <c r="K1" s="517" t="s">
        <v>995</v>
      </c>
    </row>
    <row r="2" spans="1:11">
      <c r="A2" s="627"/>
      <c r="K2" s="549" t="s">
        <v>1033</v>
      </c>
    </row>
    <row r="3" spans="1:11">
      <c r="A3" s="1173" t="s">
        <v>1428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</row>
    <row r="4" spans="1:11">
      <c r="A4" s="1173" t="s">
        <v>997</v>
      </c>
      <c r="B4" s="1173"/>
      <c r="C4" s="1173"/>
      <c r="D4" s="1173"/>
      <c r="E4" s="1173"/>
      <c r="F4" s="1173"/>
      <c r="G4" s="1173"/>
      <c r="H4" s="1173"/>
      <c r="I4" s="1173"/>
      <c r="J4" s="1173"/>
      <c r="K4" s="1173"/>
    </row>
    <row r="5" spans="1:11">
      <c r="A5" s="1173" t="str">
        <f>'A1'!A5:J5</f>
        <v>Test Year Ended June 30, 2024</v>
      </c>
      <c r="B5" s="1173"/>
      <c r="C5" s="1173"/>
      <c r="D5" s="1173"/>
      <c r="E5" s="1173"/>
      <c r="F5" s="1173"/>
      <c r="G5" s="1173"/>
      <c r="H5" s="1173"/>
      <c r="I5" s="1173"/>
      <c r="J5" s="1173"/>
      <c r="K5" s="1173"/>
    </row>
    <row r="6" spans="1:11">
      <c r="A6" s="1170" t="s">
        <v>799</v>
      </c>
      <c r="B6" s="1170"/>
      <c r="C6" s="1170"/>
      <c r="D6" s="1170"/>
      <c r="E6" s="1170"/>
      <c r="F6" s="1170"/>
      <c r="G6" s="1170"/>
      <c r="H6" s="1170"/>
      <c r="I6" s="1170"/>
      <c r="J6" s="1170"/>
      <c r="K6" s="1170"/>
    </row>
    <row r="7" spans="1:11">
      <c r="A7" s="518"/>
      <c r="B7" s="518"/>
      <c r="C7" s="518"/>
      <c r="D7" s="518"/>
      <c r="E7" s="531"/>
      <c r="F7" s="518"/>
      <c r="G7" s="518"/>
      <c r="H7" s="518"/>
      <c r="I7" s="518"/>
      <c r="J7" s="518"/>
      <c r="K7" s="518"/>
    </row>
    <row r="8" spans="1:11">
      <c r="E8" s="1185" t="s">
        <v>970</v>
      </c>
      <c r="F8" s="1185"/>
      <c r="G8" s="1185"/>
      <c r="H8" s="1185"/>
      <c r="I8" s="1185"/>
      <c r="K8" s="519"/>
    </row>
    <row r="9" spans="1:11" ht="30.6">
      <c r="A9" s="643" t="s">
        <v>800</v>
      </c>
      <c r="B9" s="630"/>
      <c r="C9" s="1131" t="s">
        <v>0</v>
      </c>
      <c r="D9" s="630"/>
      <c r="E9" s="629" t="s">
        <v>998</v>
      </c>
      <c r="F9" s="630"/>
      <c r="G9" s="629" t="s">
        <v>999</v>
      </c>
      <c r="H9" s="630"/>
      <c r="I9" s="617" t="s">
        <v>1000</v>
      </c>
      <c r="J9" s="630"/>
      <c r="K9" s="629" t="s">
        <v>1001</v>
      </c>
    </row>
    <row r="10" spans="1:11">
      <c r="A10" s="162"/>
      <c r="G10" s="631"/>
      <c r="I10" s="631"/>
      <c r="J10" s="520"/>
      <c r="K10" s="519"/>
    </row>
    <row r="11" spans="1:11">
      <c r="A11" s="160">
        <v>1</v>
      </c>
      <c r="C11" s="516" t="s">
        <v>973</v>
      </c>
      <c r="E11" s="562">
        <f>'Rate Base'!F56/1000</f>
        <v>608383.23498000018</v>
      </c>
      <c r="F11" s="562"/>
      <c r="G11" s="562">
        <f>'B2 P2'!N10</f>
        <v>-15830.419374548706</v>
      </c>
      <c r="H11" s="562"/>
      <c r="I11" s="490">
        <f>SUM(D11:H11)</f>
        <v>592552.81560545147</v>
      </c>
      <c r="K11" s="519">
        <f>+A11</f>
        <v>1</v>
      </c>
    </row>
    <row r="12" spans="1:11">
      <c r="A12" s="160"/>
      <c r="C12" s="516" t="s">
        <v>181</v>
      </c>
      <c r="E12" s="632"/>
      <c r="F12" s="531"/>
      <c r="G12" s="562"/>
      <c r="H12" s="531"/>
      <c r="I12" s="633"/>
      <c r="K12" s="519"/>
    </row>
    <row r="13" spans="1:11">
      <c r="A13" s="160">
        <f>+A11+1</f>
        <v>2</v>
      </c>
      <c r="C13" s="516" t="s">
        <v>1002</v>
      </c>
      <c r="E13" s="531">
        <f>'Rate Base'!F109/1000</f>
        <v>273304.87434000004</v>
      </c>
      <c r="F13" s="531"/>
      <c r="G13" s="531">
        <f>'B2 P2'!N12</f>
        <v>-42792.728736520767</v>
      </c>
      <c r="H13" s="531"/>
      <c r="I13" s="505">
        <f>SUM(D13:H13)</f>
        <v>230512.14560347926</v>
      </c>
      <c r="K13" s="519">
        <f>+A13</f>
        <v>2</v>
      </c>
    </row>
    <row r="14" spans="1:11">
      <c r="A14" s="160"/>
      <c r="E14" s="563"/>
      <c r="F14" s="531"/>
      <c r="G14" s="563"/>
      <c r="H14" s="531"/>
      <c r="I14" s="621"/>
      <c r="K14" s="519"/>
    </row>
    <row r="15" spans="1:11">
      <c r="A15" s="160">
        <f>+A13+1</f>
        <v>3</v>
      </c>
      <c r="C15" s="516" t="s">
        <v>975</v>
      </c>
      <c r="D15" s="634"/>
      <c r="E15" s="531">
        <f>E11-E13</f>
        <v>335078.36064000014</v>
      </c>
      <c r="F15" s="531"/>
      <c r="G15" s="531">
        <f>G11-G13</f>
        <v>26962.30936197206</v>
      </c>
      <c r="H15" s="531"/>
      <c r="I15" s="505">
        <f>I11-I13</f>
        <v>362040.67000197223</v>
      </c>
      <c r="K15" s="519">
        <f>+A15</f>
        <v>3</v>
      </c>
    </row>
    <row r="16" spans="1:11">
      <c r="A16" s="160"/>
      <c r="E16" s="531"/>
      <c r="F16" s="531"/>
      <c r="G16" s="531"/>
      <c r="H16" s="531"/>
      <c r="I16" s="505"/>
      <c r="K16" s="519"/>
    </row>
    <row r="17" spans="1:11">
      <c r="A17" s="160">
        <f>+A15+1</f>
        <v>4</v>
      </c>
      <c r="C17" s="516" t="s">
        <v>976</v>
      </c>
      <c r="E17" s="531">
        <v>0</v>
      </c>
      <c r="F17" s="531"/>
      <c r="G17" s="531">
        <f>'B2 P2'!N16</f>
        <v>0</v>
      </c>
      <c r="H17" s="531"/>
      <c r="I17" s="505">
        <f>SUM(D17:H17)</f>
        <v>0</v>
      </c>
      <c r="K17" s="519">
        <f>A17</f>
        <v>4</v>
      </c>
    </row>
    <row r="18" spans="1:11">
      <c r="A18" s="160"/>
      <c r="E18" s="563"/>
      <c r="F18" s="531"/>
      <c r="G18" s="563"/>
      <c r="H18" s="531"/>
      <c r="I18" s="621"/>
      <c r="K18" s="519"/>
    </row>
    <row r="19" spans="1:11">
      <c r="A19" s="160">
        <f>+A17+1</f>
        <v>5</v>
      </c>
      <c r="C19" s="516" t="s">
        <v>977</v>
      </c>
      <c r="E19" s="531">
        <f>E15+E17</f>
        <v>335078.36064000014</v>
      </c>
      <c r="F19" s="531"/>
      <c r="G19" s="531">
        <f>G15+G17</f>
        <v>26962.30936197206</v>
      </c>
      <c r="H19" s="531"/>
      <c r="I19" s="505">
        <f>I15+I17</f>
        <v>362040.67000197223</v>
      </c>
      <c r="K19" s="519">
        <f>+A19</f>
        <v>5</v>
      </c>
    </row>
    <row r="20" spans="1:11">
      <c r="A20" s="160"/>
      <c r="C20" s="516" t="s">
        <v>181</v>
      </c>
      <c r="E20" s="531"/>
      <c r="F20" s="531"/>
      <c r="G20" s="531"/>
      <c r="H20" s="531"/>
      <c r="I20" s="505"/>
      <c r="K20" s="519"/>
    </row>
    <row r="21" spans="1:11">
      <c r="A21" s="160">
        <f>+A19+1</f>
        <v>6</v>
      </c>
      <c r="C21" s="516" t="s">
        <v>978</v>
      </c>
      <c r="E21" s="531">
        <f>'Rate Base'!F125/1000</f>
        <v>-5445.15</v>
      </c>
      <c r="F21" s="531"/>
      <c r="G21" s="531">
        <f>'B2 P2'!N20</f>
        <v>0</v>
      </c>
      <c r="H21" s="531"/>
      <c r="I21" s="505">
        <f>SUM(D21:H21)</f>
        <v>-5445.15</v>
      </c>
      <c r="K21" s="519">
        <f>+A21</f>
        <v>6</v>
      </c>
    </row>
    <row r="22" spans="1:11">
      <c r="A22" s="160"/>
      <c r="E22" s="531"/>
      <c r="F22" s="531"/>
      <c r="G22" s="531"/>
      <c r="H22" s="531"/>
      <c r="I22" s="505"/>
      <c r="K22" s="519"/>
    </row>
    <row r="23" spans="1:11">
      <c r="A23" s="160">
        <f>+A21+1</f>
        <v>7</v>
      </c>
      <c r="C23" s="516" t="s">
        <v>979</v>
      </c>
      <c r="E23" s="531">
        <f>'Rate Base'!F126/1000</f>
        <v>-1598.8227400000001</v>
      </c>
      <c r="F23" s="531"/>
      <c r="G23" s="531">
        <f>'B2 P2'!N22</f>
        <v>0</v>
      </c>
      <c r="H23" s="531"/>
      <c r="I23" s="505">
        <f>SUM(D23:H23)</f>
        <v>-1598.8227400000001</v>
      </c>
      <c r="K23" s="519">
        <f>+A23</f>
        <v>7</v>
      </c>
    </row>
    <row r="24" spans="1:11">
      <c r="A24" s="160"/>
      <c r="H24" s="531"/>
      <c r="I24" s="505"/>
    </row>
    <row r="25" spans="1:11">
      <c r="A25" s="160">
        <f>+A23+1</f>
        <v>8</v>
      </c>
      <c r="C25" s="516" t="s">
        <v>980</v>
      </c>
      <c r="E25" s="531">
        <v>0</v>
      </c>
      <c r="F25" s="531"/>
      <c r="G25" s="531">
        <f>'B2 P2'!N24</f>
        <v>0</v>
      </c>
      <c r="H25" s="531"/>
      <c r="I25" s="505">
        <f>SUM(D25:H25)</f>
        <v>0</v>
      </c>
      <c r="K25" s="519">
        <f>+A25</f>
        <v>8</v>
      </c>
    </row>
    <row r="26" spans="1:11">
      <c r="A26" s="160"/>
      <c r="G26" s="562"/>
      <c r="I26" s="635"/>
    </row>
    <row r="27" spans="1:11">
      <c r="A27" s="160">
        <f>+A25+1</f>
        <v>9</v>
      </c>
      <c r="C27" s="516" t="s">
        <v>1003</v>
      </c>
      <c r="E27" s="563">
        <f>SUM('Rate Base'!F138:F140)/1000</f>
        <v>-36898.271420000005</v>
      </c>
      <c r="F27" s="531"/>
      <c r="G27" s="563">
        <f>'B2 P2'!N26</f>
        <v>-746.87322108383103</v>
      </c>
      <c r="H27" s="531"/>
      <c r="I27" s="621">
        <f>SUM(D27:H27)</f>
        <v>-37645.144641083833</v>
      </c>
      <c r="K27" s="519">
        <f>+A27</f>
        <v>9</v>
      </c>
    </row>
    <row r="28" spans="1:11">
      <c r="A28" s="160">
        <f>+A27+1</f>
        <v>10</v>
      </c>
      <c r="C28" s="516" t="s">
        <v>982</v>
      </c>
      <c r="E28" s="531">
        <f>SUM(E21:E27)</f>
        <v>-43942.244160000002</v>
      </c>
      <c r="F28" s="531"/>
      <c r="G28" s="531">
        <f>SUM(G21:G27)</f>
        <v>-746.87322108383103</v>
      </c>
      <c r="H28" s="531"/>
      <c r="I28" s="505">
        <f>SUM(I21:I27)</f>
        <v>-44689.11738108383</v>
      </c>
      <c r="K28" s="519">
        <f>+A28</f>
        <v>10</v>
      </c>
    </row>
    <row r="29" spans="1:11">
      <c r="A29" s="160"/>
      <c r="C29" s="516" t="s">
        <v>181</v>
      </c>
      <c r="E29" s="531"/>
      <c r="F29" s="531"/>
      <c r="G29" s="531"/>
      <c r="H29" s="531"/>
      <c r="I29" s="505"/>
      <c r="K29" s="519"/>
    </row>
    <row r="30" spans="1:11">
      <c r="A30" s="622">
        <f>+A28+1</f>
        <v>11</v>
      </c>
      <c r="C30" s="516" t="s">
        <v>983</v>
      </c>
      <c r="D30" s="532"/>
      <c r="E30" s="531">
        <f>'Rate Base'!F122/1000</f>
        <v>2946.0039100000004</v>
      </c>
      <c r="F30" s="636"/>
      <c r="G30" s="531">
        <f>'B2 P2'!N29</f>
        <v>-5172.7590382017524</v>
      </c>
      <c r="H30" s="636"/>
      <c r="I30" s="505">
        <f>SUM(D30:H30)</f>
        <v>-2226.7551282017521</v>
      </c>
      <c r="J30" s="636" t="s">
        <v>806</v>
      </c>
      <c r="K30" s="519">
        <f>+A30</f>
        <v>11</v>
      </c>
    </row>
    <row r="31" spans="1:11">
      <c r="A31" s="622"/>
      <c r="D31" s="532"/>
      <c r="E31" s="531"/>
      <c r="F31" s="531"/>
      <c r="G31" s="531"/>
      <c r="H31" s="531"/>
      <c r="I31" s="505"/>
      <c r="K31" s="561"/>
    </row>
    <row r="32" spans="1:11">
      <c r="A32" s="622">
        <f>+A30+1</f>
        <v>12</v>
      </c>
      <c r="C32" s="156" t="s">
        <v>1775</v>
      </c>
      <c r="D32" s="532"/>
      <c r="E32" s="531">
        <f>'Rate Base'!F132/1000</f>
        <v>0</v>
      </c>
      <c r="F32" s="531"/>
      <c r="G32" s="531">
        <f>'B2 P2'!N31</f>
        <v>0</v>
      </c>
      <c r="H32" s="531"/>
      <c r="I32" s="505">
        <f>SUM(D32:H32)</f>
        <v>0</v>
      </c>
      <c r="K32" s="519">
        <f>+A32</f>
        <v>12</v>
      </c>
    </row>
    <row r="33" spans="1:11">
      <c r="A33" s="622"/>
      <c r="D33" s="532"/>
      <c r="E33" s="531"/>
      <c r="F33" s="531"/>
      <c r="G33" s="531"/>
      <c r="H33" s="531"/>
      <c r="I33" s="505"/>
      <c r="K33" s="519"/>
    </row>
    <row r="34" spans="1:11">
      <c r="A34" s="622">
        <f>+A32+1</f>
        <v>13</v>
      </c>
      <c r="C34" s="516" t="s">
        <v>984</v>
      </c>
      <c r="D34" s="532"/>
      <c r="E34" s="531">
        <f>'Rate Base'!F133/1000</f>
        <v>1094.51856</v>
      </c>
      <c r="F34" s="531"/>
      <c r="G34" s="531">
        <f>'B2 P2'!N33</f>
        <v>0</v>
      </c>
      <c r="H34" s="531"/>
      <c r="I34" s="505">
        <f>SUM(D34:H34)</f>
        <v>1094.51856</v>
      </c>
      <c r="K34" s="519">
        <f>+A34</f>
        <v>13</v>
      </c>
    </row>
    <row r="35" spans="1:11">
      <c r="A35" s="622"/>
      <c r="D35" s="532"/>
      <c r="E35" s="531"/>
      <c r="F35" s="531"/>
      <c r="G35" s="562"/>
      <c r="H35" s="531"/>
      <c r="I35" s="505"/>
      <c r="K35" s="561"/>
    </row>
    <row r="36" spans="1:11">
      <c r="A36" s="622">
        <f>+A34+1</f>
        <v>14</v>
      </c>
      <c r="C36" s="516" t="s">
        <v>985</v>
      </c>
      <c r="D36" s="532"/>
      <c r="E36" s="563">
        <f>'Rate Base'!F134/1000</f>
        <v>-24912.739369999999</v>
      </c>
      <c r="F36" s="531"/>
      <c r="G36" s="563">
        <f>'B2 P2'!N35</f>
        <v>-11.195</v>
      </c>
      <c r="H36" s="531"/>
      <c r="I36" s="621">
        <f>SUM(D36:H36)</f>
        <v>-24923.934369999999</v>
      </c>
      <c r="K36" s="519">
        <f>+A36</f>
        <v>14</v>
      </c>
    </row>
    <row r="37" spans="1:11">
      <c r="A37" s="622"/>
      <c r="E37" s="531"/>
      <c r="F37" s="531"/>
      <c r="G37" s="531"/>
      <c r="H37" s="531"/>
      <c r="I37" s="505"/>
      <c r="K37" s="561"/>
    </row>
    <row r="38" spans="1:11" ht="10.8" thickBot="1">
      <c r="A38" s="622">
        <f>+A36+1</f>
        <v>15</v>
      </c>
      <c r="C38" s="516" t="s">
        <v>1004</v>
      </c>
      <c r="E38" s="637">
        <f>+E19+E28+E30+E32+E34+E36</f>
        <v>270263.89958000014</v>
      </c>
      <c r="F38" s="562"/>
      <c r="G38" s="637">
        <f>+G19+G28+G30+G32+G34+G36</f>
        <v>21031.482102686477</v>
      </c>
      <c r="H38" s="562"/>
      <c r="I38" s="637">
        <f>+I19+I28+I30+I32+I34+I36</f>
        <v>291295.38168268668</v>
      </c>
      <c r="K38" s="519">
        <f>+A38</f>
        <v>15</v>
      </c>
    </row>
    <row r="39" spans="1:11" ht="10.8" thickTop="1">
      <c r="E39" s="531"/>
      <c r="F39" s="531"/>
      <c r="G39" s="531"/>
      <c r="H39" s="531"/>
      <c r="I39" s="531"/>
      <c r="K39" s="519"/>
    </row>
    <row r="40" spans="1:11">
      <c r="C40" s="638" t="s">
        <v>826</v>
      </c>
      <c r="E40" s="640" t="s">
        <v>990</v>
      </c>
      <c r="F40" s="638"/>
      <c r="G40" s="638"/>
    </row>
    <row r="41" spans="1:11">
      <c r="C41" s="520" t="s">
        <v>1005</v>
      </c>
      <c r="E41" s="561" t="s">
        <v>1006</v>
      </c>
      <c r="F41" s="518"/>
      <c r="G41" s="518"/>
    </row>
    <row r="42" spans="1:11">
      <c r="C42" s="639" t="s">
        <v>1771</v>
      </c>
    </row>
    <row r="45" spans="1:11">
      <c r="C45" s="561"/>
    </row>
    <row r="47" spans="1:11">
      <c r="A47" s="547" t="s">
        <v>1007</v>
      </c>
    </row>
    <row r="49" spans="1:9">
      <c r="A49" s="641" t="s">
        <v>835</v>
      </c>
      <c r="G49" s="641" t="s">
        <v>1008</v>
      </c>
    </row>
    <row r="50" spans="1:9">
      <c r="A50" s="548" t="s">
        <v>1009</v>
      </c>
      <c r="G50" s="548" t="s">
        <v>1010</v>
      </c>
    </row>
    <row r="51" spans="1:9">
      <c r="A51" s="548"/>
      <c r="B51" s="548"/>
    </row>
    <row r="52" spans="1:9">
      <c r="A52" s="548"/>
      <c r="B52" s="548"/>
      <c r="D52" s="528"/>
      <c r="E52" s="548"/>
    </row>
    <row r="53" spans="1:9">
      <c r="A53" s="548"/>
      <c r="B53" s="548"/>
      <c r="C53" s="628"/>
    </row>
    <row r="54" spans="1:9">
      <c r="C54" s="628"/>
    </row>
    <row r="56" spans="1:9">
      <c r="C56" s="624" t="s">
        <v>994</v>
      </c>
      <c r="D56" s="528"/>
      <c r="E56" s="531">
        <f>'Rate Base'!F143/1000</f>
        <v>270263.89958000008</v>
      </c>
      <c r="F56" s="531"/>
      <c r="G56" s="531">
        <f>'Rate Base'!G143/1000</f>
        <v>21031.482102686474</v>
      </c>
      <c r="H56" s="531"/>
      <c r="I56" s="531">
        <f>'Rate Base'!H143/1000</f>
        <v>291295.38168268651</v>
      </c>
    </row>
    <row r="57" spans="1:9">
      <c r="C57" s="531" t="s">
        <v>3</v>
      </c>
      <c r="D57" s="528"/>
      <c r="E57" s="562">
        <f>+E38-E56</f>
        <v>0</v>
      </c>
      <c r="F57" s="562"/>
      <c r="G57" s="562">
        <f>+G38-G56</f>
        <v>0</v>
      </c>
      <c r="H57" s="562"/>
      <c r="I57" s="562">
        <f>+I38-I56</f>
        <v>0</v>
      </c>
    </row>
    <row r="70" spans="7:9">
      <c r="G70" s="531" t="s">
        <v>181</v>
      </c>
      <c r="H70" s="531"/>
      <c r="I70" s="531" t="s">
        <v>181</v>
      </c>
    </row>
  </sheetData>
  <dataConsolidate/>
  <mergeCells count="5">
    <mergeCell ref="E8:I8"/>
    <mergeCell ref="A3:K3"/>
    <mergeCell ref="A4:K4"/>
    <mergeCell ref="A5:K5"/>
    <mergeCell ref="A6:K6"/>
  </mergeCells>
  <printOptions horizontalCentered="1"/>
  <pageMargins left="0.7" right="0.7" top="0.75" bottom="0.75" header="0.3" footer="0.3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C81D5-F02E-414E-8784-C40650985173}">
  <sheetPr syncVertical="1" syncRef="A1" transitionEvaluation="1" transitionEntry="1">
    <tabColor rgb="FFFFFFCC"/>
  </sheetPr>
  <dimension ref="A1:N49"/>
  <sheetViews>
    <sheetView showGridLines="0" zoomScaleNormal="100" zoomScaleSheetLayoutView="100" workbookViewId="0"/>
  </sheetViews>
  <sheetFormatPr defaultColWidth="7.109375" defaultRowHeight="10.199999999999999"/>
  <cols>
    <col min="1" max="1" width="3.88671875" style="519" customWidth="1"/>
    <col min="2" max="2" width="1.6640625" style="516" customWidth="1"/>
    <col min="3" max="3" width="37" style="516" bestFit="1" customWidth="1"/>
    <col min="4" max="4" width="10.5546875" style="516" bestFit="1" customWidth="1"/>
    <col min="5" max="14" width="10.5546875" style="516" customWidth="1"/>
    <col min="15" max="18" width="7.109375" style="516"/>
    <col min="19" max="19" width="9" style="516" customWidth="1"/>
    <col min="20" max="16384" width="7.109375" style="516"/>
  </cols>
  <sheetData>
    <row r="1" spans="1:14" ht="11.25" customHeight="1">
      <c r="A1" s="555"/>
      <c r="C1" s="548"/>
      <c r="J1" s="517"/>
      <c r="K1" s="517"/>
      <c r="L1" s="517"/>
      <c r="M1" s="517"/>
      <c r="N1" s="517" t="s">
        <v>995</v>
      </c>
    </row>
    <row r="2" spans="1:14" ht="11.25" customHeight="1">
      <c r="A2" s="627"/>
      <c r="J2" s="549"/>
      <c r="K2" s="549"/>
      <c r="L2" s="549"/>
      <c r="M2" s="549"/>
      <c r="N2" s="549" t="s">
        <v>1046</v>
      </c>
    </row>
    <row r="3" spans="1:14" ht="11.25" customHeight="1">
      <c r="A3" s="1173" t="s">
        <v>1428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  <c r="L3" s="1173"/>
      <c r="M3" s="1173"/>
      <c r="N3" s="1173"/>
    </row>
    <row r="4" spans="1:14" ht="11.25" customHeight="1">
      <c r="A4" s="1173" t="s">
        <v>1012</v>
      </c>
      <c r="B4" s="1173"/>
      <c r="C4" s="1173"/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</row>
    <row r="5" spans="1:14" ht="11.25" customHeight="1">
      <c r="A5" s="1165" t="s">
        <v>1427</v>
      </c>
      <c r="B5" s="1165"/>
      <c r="C5" s="1165"/>
      <c r="D5" s="1165"/>
      <c r="E5" s="1165"/>
      <c r="F5" s="1165"/>
      <c r="G5" s="1165"/>
      <c r="H5" s="1165"/>
      <c r="I5" s="1165"/>
      <c r="J5" s="1165"/>
      <c r="K5" s="1165"/>
      <c r="L5" s="1165"/>
      <c r="M5" s="1165"/>
      <c r="N5" s="1165"/>
    </row>
    <row r="6" spans="1:14" ht="11.25" customHeight="1">
      <c r="A6" s="1173" t="s">
        <v>799</v>
      </c>
      <c r="B6" s="1173"/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3"/>
      <c r="N6" s="1173"/>
    </row>
    <row r="7" spans="1:14" ht="11.25" customHeight="1">
      <c r="C7" s="642"/>
      <c r="D7" s="519"/>
      <c r="E7" s="519"/>
      <c r="F7" s="519"/>
      <c r="G7" s="519"/>
      <c r="H7" s="519"/>
      <c r="I7" s="519"/>
      <c r="J7" s="519"/>
      <c r="K7" s="519"/>
      <c r="L7" s="519"/>
      <c r="M7" s="519"/>
    </row>
    <row r="8" spans="1:14" ht="40.799999999999997">
      <c r="A8" s="629" t="s">
        <v>800</v>
      </c>
      <c r="B8" s="630"/>
      <c r="C8" s="1131" t="s">
        <v>0</v>
      </c>
      <c r="D8" s="643" t="str">
        <f>'Rate Base'!I7</f>
        <v>Accumulated Deferred Income Taxes</v>
      </c>
      <c r="E8" s="643" t="str">
        <f>'Rate Base'!J7</f>
        <v>Build-Out Adjustment</v>
      </c>
      <c r="F8" s="643" t="str">
        <f>'Rate Base'!K7</f>
        <v xml:space="preserve">Citizens Acquisition Discount </v>
      </c>
      <c r="G8" s="643" t="str">
        <f>'Rate Base'!L7</f>
        <v>Delayed Unitization</v>
      </c>
      <c r="H8" s="643" t="str">
        <f>'Rate Base'!M7</f>
        <v xml:space="preserve">Fortis Rate Base Adjustment </v>
      </c>
      <c r="I8" s="643" t="str">
        <f>'Rate Base'!N7</f>
        <v>Golden Valley Pipeline</v>
      </c>
      <c r="J8" s="643" t="str">
        <f>'Rate Base'!O7</f>
        <v>Griffith Plant</v>
      </c>
      <c r="K8" s="643" t="str">
        <f>'Rate Base'!P7</f>
        <v>Post-Test Year Plant</v>
      </c>
      <c r="L8" s="643" t="str">
        <f>'Rate Base'!Q7</f>
        <v>Southern Union Acquisition Premium</v>
      </c>
      <c r="M8" s="643" t="str">
        <f>'Rate Base'!R7</f>
        <v>Working Capital</v>
      </c>
      <c r="N8" s="643" t="s">
        <v>7</v>
      </c>
    </row>
    <row r="9" spans="1:14" ht="11.25" customHeight="1">
      <c r="D9" s="519"/>
      <c r="E9" s="519"/>
      <c r="F9" s="519"/>
      <c r="G9" s="519"/>
      <c r="H9" s="519"/>
      <c r="I9" s="519"/>
      <c r="J9" s="519"/>
      <c r="K9" s="519"/>
      <c r="L9" s="519"/>
      <c r="M9" s="519"/>
      <c r="N9" s="519"/>
    </row>
    <row r="10" spans="1:14" ht="11.25" customHeight="1">
      <c r="A10" s="519">
        <v>1</v>
      </c>
      <c r="C10" s="516" t="s">
        <v>973</v>
      </c>
      <c r="D10" s="490">
        <f>SUM('Rate Base'!I11:I12)/1000+SUM('Rate Base'!I16:I20)/1000+SUM('Rate Base'!I24:I35)/1000+SUM('Rate Base'!I39:I48)/1000</f>
        <v>0</v>
      </c>
      <c r="E10" s="490">
        <f>SUM('Rate Base'!J11:J12)/1000+SUM('Rate Base'!J16:J20)/1000+SUM('Rate Base'!J24:J35)/1000+SUM('Rate Base'!J39:J48)/1000</f>
        <v>-12841.09</v>
      </c>
      <c r="F10" s="490">
        <f>SUM('Rate Base'!K11:K12)/1000+SUM('Rate Base'!K16:K20)/1000+SUM('Rate Base'!K24:K35)/1000+SUM('Rate Base'!K39:K48)/1000</f>
        <v>0</v>
      </c>
      <c r="G10" s="490">
        <f>SUM('Rate Base'!L11:L12)/1000+SUM('Rate Base'!L16:L20)/1000+SUM('Rate Base'!L24:L35)/1000+SUM('Rate Base'!L39:L48)/1000</f>
        <v>512.93100000000004</v>
      </c>
      <c r="H10" s="490">
        <f>SUM('Rate Base'!M11:M12)/1000+SUM('Rate Base'!M16:M20)/1000+SUM('Rate Base'!M24:M35)/1000+SUM('Rate Base'!M39:M48)/1000</f>
        <v>-43.555</v>
      </c>
      <c r="I10" s="490">
        <f>SUM('Rate Base'!N11:N12)/1000+SUM('Rate Base'!N16:N20)/1000+SUM('Rate Base'!N24:N35)/1000+SUM('Rate Base'!N39:N48)/1000</f>
        <v>-4406.1091145487007</v>
      </c>
      <c r="J10" s="490">
        <f>SUM('Rate Base'!O11:O12)/1000+SUM('Rate Base'!O16:O20)/1000+SUM('Rate Base'!O24:O35)/1000+SUM('Rate Base'!O39:O48)/1000</f>
        <v>-6070.8920699999999</v>
      </c>
      <c r="K10" s="490">
        <f>SUM('Rate Base'!P11:P12)/1000+SUM('Rate Base'!P16:P20)/1000+SUM('Rate Base'!P24:P35)/1000+SUM('Rate Base'!P39:P48)/1000</f>
        <v>25116.248</v>
      </c>
      <c r="L10" s="490">
        <f>SUM('Rate Base'!Q11:Q12)/1000+SUM('Rate Base'!Q16:Q20)/1000+SUM('Rate Base'!Q24:Q35)/1000+SUM('Rate Base'!Q39:Q48)/1000</f>
        <v>-18097.952190000004</v>
      </c>
      <c r="M10" s="490">
        <f>SUM('Rate Base'!R11:R12)/1000+SUM('Rate Base'!R16:R20)/1000+SUM('Rate Base'!R24:R35)/1000+SUM('Rate Base'!R39:R48)/1000</f>
        <v>0</v>
      </c>
      <c r="N10" s="562">
        <f>SUM(D10:M10)</f>
        <v>-15830.419374548706</v>
      </c>
    </row>
    <row r="11" spans="1:14" ht="11.25" customHeight="1">
      <c r="C11" s="516" t="s">
        <v>181</v>
      </c>
      <c r="D11" s="505"/>
      <c r="E11" s="505"/>
      <c r="F11" s="505"/>
      <c r="G11" s="505"/>
      <c r="H11" s="505"/>
      <c r="I11" s="505"/>
      <c r="J11" s="505"/>
      <c r="K11" s="505"/>
      <c r="L11" s="505"/>
      <c r="M11" s="505"/>
      <c r="N11" s="562"/>
    </row>
    <row r="12" spans="1:14" ht="11.25" customHeight="1">
      <c r="A12" s="519">
        <f>+A10+1</f>
        <v>2</v>
      </c>
      <c r="C12" s="516" t="s">
        <v>974</v>
      </c>
      <c r="D12" s="505">
        <f>SUM('Rate Base'!I60:I62)/1000+SUM('Rate Base'!I66:I71)/1000+SUM('Rate Base'!I75:I87)/1000+SUM('Rate Base'!I91:I101)/1000</f>
        <v>0</v>
      </c>
      <c r="E12" s="505">
        <f>SUM('Rate Base'!J60:J62)/1000+SUM('Rate Base'!J66:J71)/1000+SUM('Rate Base'!J75:J87)/1000+SUM('Rate Base'!J91:J101)/1000</f>
        <v>-10850.08</v>
      </c>
      <c r="F12" s="505">
        <f>SUM('Rate Base'!K60:K62)/1000+SUM('Rate Base'!K66:K71)/1000+SUM('Rate Base'!K75:K87)/1000+SUM('Rate Base'!K91:K101)/1000</f>
        <v>-21282.106455112655</v>
      </c>
      <c r="G12" s="505">
        <f>SUM('Rate Base'!L60:L62)/1000+SUM('Rate Base'!L66:L71)/1000+SUM('Rate Base'!L75:L87)/1000+SUM('Rate Base'!L91:L101)/1000</f>
        <v>1.5489999999999999</v>
      </c>
      <c r="H12" s="505">
        <f>SUM('Rate Base'!M60:M62)/1000+SUM('Rate Base'!M66:M71)/1000+SUM('Rate Base'!M75:M87)/1000+SUM('Rate Base'!M91:M101)/1000</f>
        <v>-14.31</v>
      </c>
      <c r="I12" s="505">
        <f>SUM('Rate Base'!N60:N62)/1000+SUM('Rate Base'!N66:N71)/1000+SUM('Rate Base'!N75:N87)/1000+SUM('Rate Base'!N91:N101)/1000</f>
        <v>-1479.1599314081102</v>
      </c>
      <c r="J12" s="505">
        <f>SUM('Rate Base'!O60:O62)/1000+SUM('Rate Base'!O66:O71)/1000+SUM('Rate Base'!O75:O87)/1000+SUM('Rate Base'!O91:O101)/1000</f>
        <v>-2530.8718399999998</v>
      </c>
      <c r="K12" s="505">
        <f>SUM('Rate Base'!P60:P62)/1000+SUM('Rate Base'!P66:P71)/1000+SUM('Rate Base'!P75:P87)/1000+SUM('Rate Base'!P91:P101)/1000</f>
        <v>1159.248</v>
      </c>
      <c r="L12" s="505">
        <f>SUM('Rate Base'!Q60:Q62)/1000+SUM('Rate Base'!Q66:Q71)/1000+SUM('Rate Base'!Q75:Q87)/1000+SUM('Rate Base'!Q91:Q101)/1000</f>
        <v>-7796.9975099999983</v>
      </c>
      <c r="M12" s="505">
        <f>SUM('Rate Base'!R60:R62)/1000+SUM('Rate Base'!R66:R71)/1000+SUM('Rate Base'!R75:R87)/1000+SUM('Rate Base'!R91:R101)/1000</f>
        <v>0</v>
      </c>
      <c r="N12" s="505">
        <f>SUM(D12:M12)</f>
        <v>-42792.728736520767</v>
      </c>
    </row>
    <row r="13" spans="1:14" ht="11.25" customHeight="1">
      <c r="D13" s="621"/>
      <c r="E13" s="621"/>
      <c r="F13" s="621"/>
      <c r="G13" s="621"/>
      <c r="H13" s="621"/>
      <c r="I13" s="621"/>
      <c r="J13" s="621"/>
      <c r="K13" s="621"/>
      <c r="L13" s="621"/>
      <c r="M13" s="621"/>
      <c r="N13" s="563"/>
    </row>
    <row r="14" spans="1:14" ht="11.25" customHeight="1">
      <c r="A14" s="519">
        <f>+A12+1</f>
        <v>3</v>
      </c>
      <c r="C14" s="516" t="s">
        <v>975</v>
      </c>
      <c r="D14" s="505">
        <f t="shared" ref="D14:M14" si="0">D10-D12</f>
        <v>0</v>
      </c>
      <c r="E14" s="505">
        <f t="shared" si="0"/>
        <v>-1991.0100000000002</v>
      </c>
      <c r="F14" s="505">
        <f t="shared" si="0"/>
        <v>21282.106455112655</v>
      </c>
      <c r="G14" s="505">
        <f t="shared" si="0"/>
        <v>511.38200000000006</v>
      </c>
      <c r="H14" s="505">
        <f t="shared" si="0"/>
        <v>-29.244999999999997</v>
      </c>
      <c r="I14" s="505">
        <f t="shared" si="0"/>
        <v>-2926.9491831405903</v>
      </c>
      <c r="J14" s="505">
        <f t="shared" si="0"/>
        <v>-3540.0202300000001</v>
      </c>
      <c r="K14" s="505">
        <f t="shared" si="0"/>
        <v>23957</v>
      </c>
      <c r="L14" s="505">
        <f t="shared" si="0"/>
        <v>-10300.954680000006</v>
      </c>
      <c r="M14" s="505">
        <f t="shared" si="0"/>
        <v>0</v>
      </c>
      <c r="N14" s="531">
        <f>N10-N12</f>
        <v>26962.30936197206</v>
      </c>
    </row>
    <row r="15" spans="1:14" ht="11.25" customHeight="1">
      <c r="D15" s="505"/>
      <c r="E15" s="505"/>
      <c r="F15" s="505"/>
      <c r="G15" s="505"/>
      <c r="H15" s="505"/>
      <c r="I15" s="505"/>
      <c r="J15" s="505"/>
      <c r="K15" s="505"/>
      <c r="L15" s="505"/>
      <c r="M15" s="505"/>
      <c r="N15" s="531"/>
    </row>
    <row r="16" spans="1:14" ht="11.25" customHeight="1">
      <c r="A16" s="519">
        <f>+A14+1</f>
        <v>4</v>
      </c>
      <c r="C16" s="516" t="s">
        <v>976</v>
      </c>
      <c r="D16" s="505">
        <v>0</v>
      </c>
      <c r="E16" s="505">
        <v>0</v>
      </c>
      <c r="F16" s="505">
        <v>0</v>
      </c>
      <c r="G16" s="505">
        <v>0</v>
      </c>
      <c r="H16" s="505">
        <v>0</v>
      </c>
      <c r="I16" s="505">
        <v>0</v>
      </c>
      <c r="J16" s="505">
        <v>0</v>
      </c>
      <c r="K16" s="505">
        <v>0</v>
      </c>
      <c r="L16" s="505">
        <v>0</v>
      </c>
      <c r="M16" s="505">
        <v>0</v>
      </c>
      <c r="N16" s="531">
        <f>SUM(D16:M16)</f>
        <v>0</v>
      </c>
    </row>
    <row r="17" spans="1:14" ht="11.25" customHeight="1">
      <c r="D17" s="621"/>
      <c r="E17" s="621"/>
      <c r="F17" s="621"/>
      <c r="G17" s="621"/>
      <c r="H17" s="621"/>
      <c r="I17" s="621"/>
      <c r="J17" s="621"/>
      <c r="K17" s="621"/>
      <c r="L17" s="621"/>
      <c r="M17" s="621"/>
      <c r="N17" s="563"/>
    </row>
    <row r="18" spans="1:14" ht="11.25" customHeight="1">
      <c r="A18" s="519">
        <f>+A16+1</f>
        <v>5</v>
      </c>
      <c r="C18" s="516" t="s">
        <v>977</v>
      </c>
      <c r="D18" s="505">
        <f>SUM(D14:D17)</f>
        <v>0</v>
      </c>
      <c r="E18" s="505">
        <f t="shared" ref="E18:M18" si="1">SUM(E14:E17)</f>
        <v>-1991.0100000000002</v>
      </c>
      <c r="F18" s="505">
        <f t="shared" si="1"/>
        <v>21282.106455112655</v>
      </c>
      <c r="G18" s="505">
        <f t="shared" si="1"/>
        <v>511.38200000000006</v>
      </c>
      <c r="H18" s="505">
        <f t="shared" si="1"/>
        <v>-29.244999999999997</v>
      </c>
      <c r="I18" s="505">
        <f t="shared" si="1"/>
        <v>-2926.9491831405903</v>
      </c>
      <c r="J18" s="505">
        <f t="shared" si="1"/>
        <v>-3540.0202300000001</v>
      </c>
      <c r="K18" s="505">
        <f t="shared" si="1"/>
        <v>23957</v>
      </c>
      <c r="L18" s="505">
        <f t="shared" si="1"/>
        <v>-10300.954680000006</v>
      </c>
      <c r="M18" s="505">
        <f t="shared" si="1"/>
        <v>0</v>
      </c>
      <c r="N18" s="531">
        <f>SUM(N14:N16)</f>
        <v>26962.30936197206</v>
      </c>
    </row>
    <row r="19" spans="1:14" ht="11.25" customHeight="1">
      <c r="C19" s="516" t="s">
        <v>181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31"/>
    </row>
    <row r="20" spans="1:14" ht="11.25" customHeight="1">
      <c r="A20" s="519">
        <f>+A18+1</f>
        <v>6</v>
      </c>
      <c r="C20" s="516" t="s">
        <v>978</v>
      </c>
      <c r="D20" s="505">
        <f>'Rate Base'!I125</f>
        <v>0</v>
      </c>
      <c r="E20" s="505">
        <f>'Rate Base'!J125</f>
        <v>0</v>
      </c>
      <c r="F20" s="505">
        <f>'Rate Base'!K125</f>
        <v>0</v>
      </c>
      <c r="G20" s="505">
        <f>'Rate Base'!L125</f>
        <v>0</v>
      </c>
      <c r="H20" s="505">
        <f>'Rate Base'!M125</f>
        <v>0</v>
      </c>
      <c r="I20" s="505">
        <f>'Rate Base'!N125</f>
        <v>0</v>
      </c>
      <c r="J20" s="505">
        <f>'Rate Base'!O125</f>
        <v>0</v>
      </c>
      <c r="K20" s="505">
        <f>'Rate Base'!P125</f>
        <v>0</v>
      </c>
      <c r="L20" s="505">
        <f>'Rate Base'!Q125</f>
        <v>0</v>
      </c>
      <c r="M20" s="505">
        <f>'Rate Base'!R125</f>
        <v>0</v>
      </c>
      <c r="N20" s="531">
        <f>SUM(D20:M20)</f>
        <v>0</v>
      </c>
    </row>
    <row r="21" spans="1:14" ht="11.25" customHeight="1"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31"/>
    </row>
    <row r="22" spans="1:14" ht="11.25" customHeight="1">
      <c r="A22" s="519">
        <f>+A20+1</f>
        <v>7</v>
      </c>
      <c r="C22" s="516" t="s">
        <v>979</v>
      </c>
      <c r="D22" s="505">
        <f>'Rate Base'!I126</f>
        <v>0</v>
      </c>
      <c r="E22" s="505">
        <f>'Rate Base'!J126</f>
        <v>0</v>
      </c>
      <c r="F22" s="505">
        <f>'Rate Base'!K126</f>
        <v>0</v>
      </c>
      <c r="G22" s="505">
        <f>'Rate Base'!L126</f>
        <v>0</v>
      </c>
      <c r="H22" s="505">
        <f>'Rate Base'!M126</f>
        <v>0</v>
      </c>
      <c r="I22" s="505">
        <f>'Rate Base'!N126</f>
        <v>0</v>
      </c>
      <c r="J22" s="505">
        <f>'Rate Base'!O126</f>
        <v>0</v>
      </c>
      <c r="K22" s="505">
        <f>'Rate Base'!P126</f>
        <v>0</v>
      </c>
      <c r="L22" s="505">
        <f>'Rate Base'!Q126</f>
        <v>0</v>
      </c>
      <c r="M22" s="505">
        <f>'Rate Base'!R126</f>
        <v>0</v>
      </c>
      <c r="N22" s="531">
        <f>SUM(D22:M22)</f>
        <v>0</v>
      </c>
    </row>
    <row r="23" spans="1:14" ht="11.25" customHeight="1"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31"/>
    </row>
    <row r="24" spans="1:14" ht="11.25" customHeight="1">
      <c r="A24" s="519">
        <f>+A22+1</f>
        <v>8</v>
      </c>
      <c r="C24" s="516" t="s">
        <v>980</v>
      </c>
      <c r="D24" s="505">
        <v>0</v>
      </c>
      <c r="E24" s="505">
        <v>0</v>
      </c>
      <c r="F24" s="505">
        <v>0</v>
      </c>
      <c r="G24" s="505">
        <v>0</v>
      </c>
      <c r="H24" s="505">
        <v>0</v>
      </c>
      <c r="I24" s="505">
        <v>0</v>
      </c>
      <c r="J24" s="505">
        <v>0</v>
      </c>
      <c r="K24" s="505">
        <v>0</v>
      </c>
      <c r="L24" s="505">
        <v>0</v>
      </c>
      <c r="M24" s="505">
        <v>0</v>
      </c>
      <c r="N24" s="531">
        <f>SUM(D24:M24)</f>
        <v>0</v>
      </c>
    </row>
    <row r="25" spans="1:14" ht="11.25" customHeight="1"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531"/>
    </row>
    <row r="26" spans="1:14" ht="11.25" customHeight="1">
      <c r="A26" s="519">
        <f>+A24+1</f>
        <v>9</v>
      </c>
      <c r="C26" s="516" t="s">
        <v>1029</v>
      </c>
      <c r="D26" s="621">
        <f>SUM('Rate Base'!I138:I140)/1000</f>
        <v>-746.87322108383103</v>
      </c>
      <c r="E26" s="621">
        <f>SUM('Rate Base'!J138:J140)/1000</f>
        <v>0</v>
      </c>
      <c r="F26" s="621">
        <f>SUM('Rate Base'!K138:K140)/1000</f>
        <v>0</v>
      </c>
      <c r="G26" s="621">
        <f>SUM('Rate Base'!L138:L140)/1000</f>
        <v>0</v>
      </c>
      <c r="H26" s="621">
        <f>SUM('Rate Base'!M138:M140)/1000</f>
        <v>0</v>
      </c>
      <c r="I26" s="621">
        <f>SUM('Rate Base'!N138:N140)/1000</f>
        <v>0</v>
      </c>
      <c r="J26" s="621">
        <f>SUM('Rate Base'!O138:O140)/1000</f>
        <v>0</v>
      </c>
      <c r="K26" s="621">
        <f>SUM('Rate Base'!P138:P140)/1000</f>
        <v>0</v>
      </c>
      <c r="L26" s="621">
        <f>SUM('Rate Base'!Q138:Q140)/1000</f>
        <v>0</v>
      </c>
      <c r="M26" s="621">
        <f>SUM('Rate Base'!R138:R140)/1000</f>
        <v>0</v>
      </c>
      <c r="N26" s="621">
        <f>SUM(D26:M26)</f>
        <v>-746.87322108383103</v>
      </c>
    </row>
    <row r="27" spans="1:14" ht="11.25" customHeight="1">
      <c r="A27" s="519">
        <f>+A26+1</f>
        <v>10</v>
      </c>
      <c r="C27" s="516" t="s">
        <v>982</v>
      </c>
      <c r="D27" s="505">
        <f>SUM(D20:D26)</f>
        <v>-746.87322108383103</v>
      </c>
      <c r="E27" s="505">
        <f t="shared" ref="E27:M27" si="2">SUM(E20:E26)</f>
        <v>0</v>
      </c>
      <c r="F27" s="505">
        <f t="shared" si="2"/>
        <v>0</v>
      </c>
      <c r="G27" s="505">
        <f t="shared" si="2"/>
        <v>0</v>
      </c>
      <c r="H27" s="505">
        <f t="shared" si="2"/>
        <v>0</v>
      </c>
      <c r="I27" s="505">
        <f t="shared" si="2"/>
        <v>0</v>
      </c>
      <c r="J27" s="505">
        <f t="shared" si="2"/>
        <v>0</v>
      </c>
      <c r="K27" s="505">
        <f t="shared" si="2"/>
        <v>0</v>
      </c>
      <c r="L27" s="505">
        <f t="shared" si="2"/>
        <v>0</v>
      </c>
      <c r="M27" s="505">
        <f t="shared" si="2"/>
        <v>0</v>
      </c>
      <c r="N27" s="505">
        <f t="shared" ref="N27" si="3">SUM(N20:N26)</f>
        <v>-746.87322108383103</v>
      </c>
    </row>
    <row r="28" spans="1:14" ht="11.25" customHeight="1">
      <c r="C28" s="516" t="s">
        <v>181</v>
      </c>
      <c r="D28" s="622"/>
      <c r="E28" s="622"/>
      <c r="F28" s="622"/>
      <c r="G28" s="622"/>
      <c r="H28" s="622"/>
      <c r="I28" s="622"/>
      <c r="J28" s="622"/>
      <c r="K28" s="622"/>
      <c r="L28" s="622"/>
      <c r="M28" s="622"/>
      <c r="N28" s="561"/>
    </row>
    <row r="29" spans="1:14" ht="11.25" customHeight="1">
      <c r="A29" s="561">
        <f>+A27+1</f>
        <v>11</v>
      </c>
      <c r="C29" s="516" t="s">
        <v>983</v>
      </c>
      <c r="D29" s="505">
        <f>SUM('Rate Base'!I119:I121)/1000</f>
        <v>0</v>
      </c>
      <c r="E29" s="505">
        <f>SUM('Rate Base'!J119:J121)/1000</f>
        <v>0</v>
      </c>
      <c r="F29" s="505">
        <f>SUM('Rate Base'!K119:K121)/1000</f>
        <v>0</v>
      </c>
      <c r="G29" s="505">
        <f>SUM('Rate Base'!L119:L121)/1000</f>
        <v>0</v>
      </c>
      <c r="H29" s="505">
        <f>SUM('Rate Base'!M119:M121)/1000</f>
        <v>0</v>
      </c>
      <c r="I29" s="505">
        <f>SUM('Rate Base'!N119:N121)/1000</f>
        <v>0</v>
      </c>
      <c r="J29" s="505">
        <f>SUM('Rate Base'!O119:O121)/1000</f>
        <v>0</v>
      </c>
      <c r="K29" s="505">
        <f>SUM('Rate Base'!P119:P121)/1000</f>
        <v>0</v>
      </c>
      <c r="L29" s="505">
        <f>SUM('Rate Base'!Q119:Q121)/1000</f>
        <v>0</v>
      </c>
      <c r="M29" s="505">
        <f>SUM('Rate Base'!R119:R121)/1000</f>
        <v>-5172.7590382017524</v>
      </c>
      <c r="N29" s="531">
        <f>SUM(D29:M29)</f>
        <v>-5172.7590382017524</v>
      </c>
    </row>
    <row r="30" spans="1:14" ht="11.25" customHeight="1">
      <c r="A30" s="561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31"/>
    </row>
    <row r="31" spans="1:14" ht="11.25" customHeight="1">
      <c r="A31" s="561">
        <f>A29+1</f>
        <v>12</v>
      </c>
      <c r="C31" s="156" t="s">
        <v>1775</v>
      </c>
      <c r="D31" s="505">
        <f>'Rate Base'!I132/1000</f>
        <v>0</v>
      </c>
      <c r="E31" s="505">
        <f>'Rate Base'!J132/1000</f>
        <v>0</v>
      </c>
      <c r="F31" s="505">
        <f>'Rate Base'!K132/1000</f>
        <v>0</v>
      </c>
      <c r="G31" s="505">
        <f>'Rate Base'!L132/1000</f>
        <v>0</v>
      </c>
      <c r="H31" s="505">
        <f>'Rate Base'!M132/1000</f>
        <v>0</v>
      </c>
      <c r="I31" s="505">
        <f>'Rate Base'!N132/1000</f>
        <v>0</v>
      </c>
      <c r="J31" s="505">
        <f>'Rate Base'!O132/1000</f>
        <v>0</v>
      </c>
      <c r="K31" s="505">
        <f>'Rate Base'!P132/1000</f>
        <v>0</v>
      </c>
      <c r="L31" s="505">
        <f>'Rate Base'!Q132/1000</f>
        <v>0</v>
      </c>
      <c r="M31" s="505">
        <f>'Rate Base'!R132/1000</f>
        <v>0</v>
      </c>
      <c r="N31" s="531">
        <f>SUM(D31:M31)</f>
        <v>0</v>
      </c>
    </row>
    <row r="32" spans="1:14" ht="11.25" customHeight="1">
      <c r="A32" s="561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31"/>
    </row>
    <row r="33" spans="1:14" ht="11.25" customHeight="1">
      <c r="A33" s="561">
        <f>A31+1</f>
        <v>13</v>
      </c>
      <c r="C33" s="516" t="s">
        <v>984</v>
      </c>
      <c r="D33" s="505">
        <f>'Rate Base'!I133/1000</f>
        <v>0</v>
      </c>
      <c r="E33" s="505">
        <f>'Rate Base'!J133/1000</f>
        <v>0</v>
      </c>
      <c r="F33" s="505">
        <f>'Rate Base'!K133/1000</f>
        <v>0</v>
      </c>
      <c r="G33" s="505">
        <f>'Rate Base'!L133/1000</f>
        <v>0</v>
      </c>
      <c r="H33" s="505">
        <f>'Rate Base'!M133/1000</f>
        <v>0</v>
      </c>
      <c r="I33" s="505">
        <f>'Rate Base'!N133/1000</f>
        <v>0</v>
      </c>
      <c r="J33" s="505">
        <f>'Rate Base'!O133/1000</f>
        <v>0</v>
      </c>
      <c r="K33" s="505">
        <f>'Rate Base'!P133/1000</f>
        <v>0</v>
      </c>
      <c r="L33" s="505">
        <f>'Rate Base'!Q133/1000</f>
        <v>0</v>
      </c>
      <c r="M33" s="505">
        <f>'Rate Base'!R133/1000</f>
        <v>0</v>
      </c>
      <c r="N33" s="531">
        <f>SUM(D33:M33)</f>
        <v>0</v>
      </c>
    </row>
    <row r="34" spans="1:14" ht="11.25" customHeight="1">
      <c r="A34" s="561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31"/>
    </row>
    <row r="35" spans="1:14" ht="11.25" customHeight="1">
      <c r="A35" s="561">
        <f>+A33+1</f>
        <v>14</v>
      </c>
      <c r="C35" s="516" t="s">
        <v>985</v>
      </c>
      <c r="D35" s="621">
        <f>'Rate Base'!I134/1000</f>
        <v>-11.195</v>
      </c>
      <c r="E35" s="621">
        <f>'Rate Base'!J134/1000</f>
        <v>0</v>
      </c>
      <c r="F35" s="621">
        <f>'Rate Base'!K134/1000</f>
        <v>0</v>
      </c>
      <c r="G35" s="621">
        <f>'Rate Base'!L134/1000</f>
        <v>0</v>
      </c>
      <c r="H35" s="621">
        <f>'Rate Base'!M134/1000</f>
        <v>0</v>
      </c>
      <c r="I35" s="621">
        <f>'Rate Base'!N134/1000</f>
        <v>0</v>
      </c>
      <c r="J35" s="621">
        <f>'Rate Base'!O134/1000</f>
        <v>0</v>
      </c>
      <c r="K35" s="621">
        <f>'Rate Base'!P134/1000</f>
        <v>0</v>
      </c>
      <c r="L35" s="621">
        <f>'Rate Base'!Q134/1000</f>
        <v>0</v>
      </c>
      <c r="M35" s="621">
        <f>'Rate Base'!R134/1000</f>
        <v>0</v>
      </c>
      <c r="N35" s="621">
        <f>SUM(D35:M35)</f>
        <v>-11.195</v>
      </c>
    </row>
    <row r="36" spans="1:14" ht="11.25" customHeight="1">
      <c r="A36" s="561"/>
      <c r="D36" s="622" t="s">
        <v>655</v>
      </c>
      <c r="E36" s="622" t="s">
        <v>655</v>
      </c>
      <c r="F36" s="622" t="s">
        <v>655</v>
      </c>
      <c r="G36" s="622" t="s">
        <v>655</v>
      </c>
      <c r="H36" s="622" t="s">
        <v>655</v>
      </c>
      <c r="I36" s="622" t="s">
        <v>655</v>
      </c>
      <c r="J36" s="622" t="s">
        <v>655</v>
      </c>
      <c r="K36" s="622" t="s">
        <v>655</v>
      </c>
      <c r="L36" s="622" t="s">
        <v>655</v>
      </c>
      <c r="M36" s="622" t="s">
        <v>655</v>
      </c>
      <c r="N36" s="622"/>
    </row>
    <row r="37" spans="1:14" ht="11.25" customHeight="1" thickBot="1">
      <c r="A37" s="561">
        <f>+A35+1</f>
        <v>15</v>
      </c>
      <c r="C37" s="516" t="s">
        <v>1004</v>
      </c>
      <c r="D37" s="498">
        <f>(+D18+D27+D29+D33+D35)</f>
        <v>-758.06822108383108</v>
      </c>
      <c r="E37" s="498">
        <f t="shared" ref="E37:M37" si="4">(+E18+E27+E29+E33+E35)</f>
        <v>-1991.0100000000002</v>
      </c>
      <c r="F37" s="498">
        <f t="shared" si="4"/>
        <v>21282.106455112655</v>
      </c>
      <c r="G37" s="498">
        <f t="shared" si="4"/>
        <v>511.38200000000006</v>
      </c>
      <c r="H37" s="498">
        <f t="shared" si="4"/>
        <v>-29.244999999999997</v>
      </c>
      <c r="I37" s="498">
        <f t="shared" si="4"/>
        <v>-2926.9491831405903</v>
      </c>
      <c r="J37" s="498">
        <f t="shared" si="4"/>
        <v>-3540.0202300000001</v>
      </c>
      <c r="K37" s="498">
        <f t="shared" si="4"/>
        <v>23957</v>
      </c>
      <c r="L37" s="498">
        <f t="shared" si="4"/>
        <v>-10300.954680000006</v>
      </c>
      <c r="M37" s="498">
        <f t="shared" si="4"/>
        <v>-5172.7590382017524</v>
      </c>
      <c r="N37" s="637">
        <f>+N18+N27+N29+N33+N35</f>
        <v>21031.482102686477</v>
      </c>
    </row>
    <row r="38" spans="1:14" ht="11.25" customHeight="1" thickTop="1"/>
    <row r="39" spans="1:14" ht="11.25" customHeight="1">
      <c r="C39" s="545" t="s">
        <v>826</v>
      </c>
      <c r="E39" s="640" t="s">
        <v>990</v>
      </c>
      <c r="F39" s="518"/>
      <c r="G39" s="518"/>
      <c r="H39" s="518"/>
      <c r="I39" s="518"/>
      <c r="N39" s="519"/>
    </row>
    <row r="40" spans="1:14" ht="11.25" customHeight="1">
      <c r="C40" s="519" t="s">
        <v>22</v>
      </c>
      <c r="E40" s="561" t="s">
        <v>1013</v>
      </c>
      <c r="F40" s="518"/>
      <c r="G40" s="518"/>
      <c r="H40" s="518"/>
      <c r="I40" s="518"/>
    </row>
    <row r="41" spans="1:14">
      <c r="C41" s="520"/>
    </row>
    <row r="42" spans="1:14">
      <c r="D42" s="642"/>
      <c r="E42" s="642"/>
      <c r="F42" s="642"/>
      <c r="G42" s="642"/>
      <c r="H42" s="642"/>
      <c r="I42" s="642"/>
      <c r="J42" s="642"/>
      <c r="K42" s="642"/>
      <c r="L42" s="642"/>
      <c r="M42" s="642"/>
      <c r="N42" s="642"/>
    </row>
    <row r="46" spans="1:14">
      <c r="C46" s="547" t="s">
        <v>1014</v>
      </c>
      <c r="D46" s="516">
        <f>'Rate Base'!I6/1000</f>
        <v>-758.06822108383108</v>
      </c>
      <c r="E46" s="516">
        <f>'Rate Base'!J6/1000</f>
        <v>-1991.01</v>
      </c>
      <c r="F46" s="516">
        <f>'Rate Base'!K6/1000</f>
        <v>21282.106455112655</v>
      </c>
      <c r="G46" s="516">
        <f>'Rate Base'!L6/1000</f>
        <v>511.38200000000001</v>
      </c>
      <c r="H46" s="516">
        <f>'Rate Base'!M6/1000</f>
        <v>-29.245000000000001</v>
      </c>
      <c r="I46" s="516">
        <f>'Rate Base'!N6/1000</f>
        <v>-2926.9491831405908</v>
      </c>
      <c r="J46" s="516">
        <f>'Rate Base'!O6/1000</f>
        <v>-3540.0202300000005</v>
      </c>
      <c r="K46" s="516">
        <f>'Rate Base'!P6/1000</f>
        <v>23957</v>
      </c>
      <c r="L46" s="516">
        <f>'Rate Base'!Q6/1000</f>
        <v>-10300.954679999997</v>
      </c>
      <c r="M46" s="516">
        <f>'Rate Base'!R6/1000</f>
        <v>-5172.7590382017524</v>
      </c>
      <c r="N46" s="516">
        <f>'Rate Base'!L1/1000</f>
        <v>21031.482102686485</v>
      </c>
    </row>
    <row r="47" spans="1:14">
      <c r="D47" s="642">
        <f>D37-D46</f>
        <v>0</v>
      </c>
      <c r="E47" s="642">
        <f>E37-E46</f>
        <v>0</v>
      </c>
      <c r="F47" s="642">
        <f>F37-F46</f>
        <v>0</v>
      </c>
      <c r="G47" s="642">
        <f>G37-G46</f>
        <v>0</v>
      </c>
      <c r="H47" s="642">
        <f>H37-H46</f>
        <v>0</v>
      </c>
      <c r="I47" s="642">
        <f t="shared" ref="I47:N47" si="5">I37-I46</f>
        <v>0</v>
      </c>
      <c r="J47" s="642">
        <f t="shared" si="5"/>
        <v>0</v>
      </c>
      <c r="K47" s="642">
        <f t="shared" si="5"/>
        <v>0</v>
      </c>
      <c r="L47" s="642">
        <f t="shared" si="5"/>
        <v>0</v>
      </c>
      <c r="M47" s="642">
        <f t="shared" si="5"/>
        <v>0</v>
      </c>
      <c r="N47" s="642">
        <f t="shared" si="5"/>
        <v>0</v>
      </c>
    </row>
    <row r="48" spans="1:14">
      <c r="C48" s="641" t="s">
        <v>835</v>
      </c>
    </row>
    <row r="49" spans="3:3">
      <c r="C49" s="548" t="s">
        <v>1015</v>
      </c>
    </row>
  </sheetData>
  <dataConsolidate/>
  <mergeCells count="4">
    <mergeCell ref="A3:N3"/>
    <mergeCell ref="A4:N4"/>
    <mergeCell ref="A5:N5"/>
    <mergeCell ref="A6:N6"/>
  </mergeCells>
  <printOptions horizontalCentered="1"/>
  <pageMargins left="0.45" right="0.45" top="0.75" bottom="0.75" header="0.3" footer="0.3"/>
  <pageSetup scale="76" fitToHeight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25ACC-891D-4E3F-BDC4-93015987BC91}">
  <sheetPr>
    <tabColor rgb="FFFFFFCC"/>
  </sheetPr>
  <dimension ref="A1:K61"/>
  <sheetViews>
    <sheetView showGridLines="0" zoomScaleNormal="100" zoomScaleSheetLayoutView="100" workbookViewId="0"/>
  </sheetViews>
  <sheetFormatPr defaultColWidth="7" defaultRowHeight="10.199999999999999"/>
  <cols>
    <col min="1" max="1" width="3.88671875" style="162" customWidth="1"/>
    <col min="2" max="2" width="2.88671875" style="162" customWidth="1"/>
    <col min="3" max="3" width="37" style="162" bestFit="1" customWidth="1"/>
    <col min="4" max="4" width="2.88671875" style="162" customWidth="1"/>
    <col min="5" max="5" width="11.109375" style="162" customWidth="1"/>
    <col min="6" max="6" width="2.88671875" style="162" customWidth="1"/>
    <col min="7" max="7" width="11.109375" style="162" customWidth="1"/>
    <col min="8" max="8" width="2.88671875" style="162" customWidth="1"/>
    <col min="9" max="9" width="11.109375" style="162" customWidth="1"/>
    <col min="10" max="10" width="2.88671875" style="162" customWidth="1"/>
    <col min="11" max="11" width="3.88671875" style="162" customWidth="1"/>
    <col min="12" max="12" width="7" style="162"/>
    <col min="13" max="13" width="7.5546875" style="162" bestFit="1" customWidth="1"/>
    <col min="14" max="250" width="7" style="162"/>
    <col min="251" max="251" width="4.44140625" style="162" customWidth="1"/>
    <col min="252" max="252" width="2.88671875" style="162" customWidth="1"/>
    <col min="253" max="253" width="33.44140625" style="162" customWidth="1"/>
    <col min="254" max="254" width="4.44140625" style="162" customWidth="1"/>
    <col min="255" max="255" width="10.88671875" style="162" customWidth="1"/>
    <col min="256" max="256" width="4.44140625" style="162" customWidth="1"/>
    <col min="257" max="257" width="10.88671875" style="162" customWidth="1"/>
    <col min="258" max="258" width="4.44140625" style="162" customWidth="1"/>
    <col min="259" max="259" width="10.88671875" style="162" customWidth="1"/>
    <col min="260" max="260" width="4.44140625" style="162" customWidth="1"/>
    <col min="261" max="261" width="10.44140625" style="162" customWidth="1"/>
    <col min="262" max="262" width="4.44140625" style="162" customWidth="1"/>
    <col min="263" max="263" width="9" style="162" customWidth="1"/>
    <col min="264" max="264" width="4.44140625" style="162" customWidth="1"/>
    <col min="265" max="265" width="10.88671875" style="162" customWidth="1"/>
    <col min="266" max="266" width="2.88671875" style="162" customWidth="1"/>
    <col min="267" max="267" width="4.44140625" style="162" customWidth="1"/>
    <col min="268" max="268" width="7" style="162"/>
    <col min="269" max="269" width="7.5546875" style="162" bestFit="1" customWidth="1"/>
    <col min="270" max="506" width="7" style="162"/>
    <col min="507" max="507" width="4.44140625" style="162" customWidth="1"/>
    <col min="508" max="508" width="2.88671875" style="162" customWidth="1"/>
    <col min="509" max="509" width="33.44140625" style="162" customWidth="1"/>
    <col min="510" max="510" width="4.44140625" style="162" customWidth="1"/>
    <col min="511" max="511" width="10.88671875" style="162" customWidth="1"/>
    <col min="512" max="512" width="4.44140625" style="162" customWidth="1"/>
    <col min="513" max="513" width="10.88671875" style="162" customWidth="1"/>
    <col min="514" max="514" width="4.44140625" style="162" customWidth="1"/>
    <col min="515" max="515" width="10.88671875" style="162" customWidth="1"/>
    <col min="516" max="516" width="4.44140625" style="162" customWidth="1"/>
    <col min="517" max="517" width="10.44140625" style="162" customWidth="1"/>
    <col min="518" max="518" width="4.44140625" style="162" customWidth="1"/>
    <col min="519" max="519" width="9" style="162" customWidth="1"/>
    <col min="520" max="520" width="4.44140625" style="162" customWidth="1"/>
    <col min="521" max="521" width="10.88671875" style="162" customWidth="1"/>
    <col min="522" max="522" width="2.88671875" style="162" customWidth="1"/>
    <col min="523" max="523" width="4.44140625" style="162" customWidth="1"/>
    <col min="524" max="524" width="7" style="162"/>
    <col min="525" max="525" width="7.5546875" style="162" bestFit="1" customWidth="1"/>
    <col min="526" max="762" width="7" style="162"/>
    <col min="763" max="763" width="4.44140625" style="162" customWidth="1"/>
    <col min="764" max="764" width="2.88671875" style="162" customWidth="1"/>
    <col min="765" max="765" width="33.44140625" style="162" customWidth="1"/>
    <col min="766" max="766" width="4.44140625" style="162" customWidth="1"/>
    <col min="767" max="767" width="10.88671875" style="162" customWidth="1"/>
    <col min="768" max="768" width="4.44140625" style="162" customWidth="1"/>
    <col min="769" max="769" width="10.88671875" style="162" customWidth="1"/>
    <col min="770" max="770" width="4.44140625" style="162" customWidth="1"/>
    <col min="771" max="771" width="10.88671875" style="162" customWidth="1"/>
    <col min="772" max="772" width="4.44140625" style="162" customWidth="1"/>
    <col min="773" max="773" width="10.44140625" style="162" customWidth="1"/>
    <col min="774" max="774" width="4.44140625" style="162" customWidth="1"/>
    <col min="775" max="775" width="9" style="162" customWidth="1"/>
    <col min="776" max="776" width="4.44140625" style="162" customWidth="1"/>
    <col min="777" max="777" width="10.88671875" style="162" customWidth="1"/>
    <col min="778" max="778" width="2.88671875" style="162" customWidth="1"/>
    <col min="779" max="779" width="4.44140625" style="162" customWidth="1"/>
    <col min="780" max="780" width="7" style="162"/>
    <col min="781" max="781" width="7.5546875" style="162" bestFit="1" customWidth="1"/>
    <col min="782" max="1018" width="7" style="162"/>
    <col min="1019" max="1019" width="4.44140625" style="162" customWidth="1"/>
    <col min="1020" max="1020" width="2.88671875" style="162" customWidth="1"/>
    <col min="1021" max="1021" width="33.44140625" style="162" customWidth="1"/>
    <col min="1022" max="1022" width="4.44140625" style="162" customWidth="1"/>
    <col min="1023" max="1023" width="10.88671875" style="162" customWidth="1"/>
    <col min="1024" max="1024" width="4.44140625" style="162" customWidth="1"/>
    <col min="1025" max="1025" width="10.88671875" style="162" customWidth="1"/>
    <col min="1026" max="1026" width="4.44140625" style="162" customWidth="1"/>
    <col min="1027" max="1027" width="10.88671875" style="162" customWidth="1"/>
    <col min="1028" max="1028" width="4.44140625" style="162" customWidth="1"/>
    <col min="1029" max="1029" width="10.44140625" style="162" customWidth="1"/>
    <col min="1030" max="1030" width="4.44140625" style="162" customWidth="1"/>
    <col min="1031" max="1031" width="9" style="162" customWidth="1"/>
    <col min="1032" max="1032" width="4.44140625" style="162" customWidth="1"/>
    <col min="1033" max="1033" width="10.88671875" style="162" customWidth="1"/>
    <col min="1034" max="1034" width="2.88671875" style="162" customWidth="1"/>
    <col min="1035" max="1035" width="4.44140625" style="162" customWidth="1"/>
    <col min="1036" max="1036" width="7" style="162"/>
    <col min="1037" max="1037" width="7.5546875" style="162" bestFit="1" customWidth="1"/>
    <col min="1038" max="1274" width="7" style="162"/>
    <col min="1275" max="1275" width="4.44140625" style="162" customWidth="1"/>
    <col min="1276" max="1276" width="2.88671875" style="162" customWidth="1"/>
    <col min="1277" max="1277" width="33.44140625" style="162" customWidth="1"/>
    <col min="1278" max="1278" width="4.44140625" style="162" customWidth="1"/>
    <col min="1279" max="1279" width="10.88671875" style="162" customWidth="1"/>
    <col min="1280" max="1280" width="4.44140625" style="162" customWidth="1"/>
    <col min="1281" max="1281" width="10.88671875" style="162" customWidth="1"/>
    <col min="1282" max="1282" width="4.44140625" style="162" customWidth="1"/>
    <col min="1283" max="1283" width="10.88671875" style="162" customWidth="1"/>
    <col min="1284" max="1284" width="4.44140625" style="162" customWidth="1"/>
    <col min="1285" max="1285" width="10.44140625" style="162" customWidth="1"/>
    <col min="1286" max="1286" width="4.44140625" style="162" customWidth="1"/>
    <col min="1287" max="1287" width="9" style="162" customWidth="1"/>
    <col min="1288" max="1288" width="4.44140625" style="162" customWidth="1"/>
    <col min="1289" max="1289" width="10.88671875" style="162" customWidth="1"/>
    <col min="1290" max="1290" width="2.88671875" style="162" customWidth="1"/>
    <col min="1291" max="1291" width="4.44140625" style="162" customWidth="1"/>
    <col min="1292" max="1292" width="7" style="162"/>
    <col min="1293" max="1293" width="7.5546875" style="162" bestFit="1" customWidth="1"/>
    <col min="1294" max="1530" width="7" style="162"/>
    <col min="1531" max="1531" width="4.44140625" style="162" customWidth="1"/>
    <col min="1532" max="1532" width="2.88671875" style="162" customWidth="1"/>
    <col min="1533" max="1533" width="33.44140625" style="162" customWidth="1"/>
    <col min="1534" max="1534" width="4.44140625" style="162" customWidth="1"/>
    <col min="1535" max="1535" width="10.88671875" style="162" customWidth="1"/>
    <col min="1536" max="1536" width="4.44140625" style="162" customWidth="1"/>
    <col min="1537" max="1537" width="10.88671875" style="162" customWidth="1"/>
    <col min="1538" max="1538" width="4.44140625" style="162" customWidth="1"/>
    <col min="1539" max="1539" width="10.88671875" style="162" customWidth="1"/>
    <col min="1540" max="1540" width="4.44140625" style="162" customWidth="1"/>
    <col min="1541" max="1541" width="10.44140625" style="162" customWidth="1"/>
    <col min="1542" max="1542" width="4.44140625" style="162" customWidth="1"/>
    <col min="1543" max="1543" width="9" style="162" customWidth="1"/>
    <col min="1544" max="1544" width="4.44140625" style="162" customWidth="1"/>
    <col min="1545" max="1545" width="10.88671875" style="162" customWidth="1"/>
    <col min="1546" max="1546" width="2.88671875" style="162" customWidth="1"/>
    <col min="1547" max="1547" width="4.44140625" style="162" customWidth="1"/>
    <col min="1548" max="1548" width="7" style="162"/>
    <col min="1549" max="1549" width="7.5546875" style="162" bestFit="1" customWidth="1"/>
    <col min="1550" max="1786" width="7" style="162"/>
    <col min="1787" max="1787" width="4.44140625" style="162" customWidth="1"/>
    <col min="1788" max="1788" width="2.88671875" style="162" customWidth="1"/>
    <col min="1789" max="1789" width="33.44140625" style="162" customWidth="1"/>
    <col min="1790" max="1790" width="4.44140625" style="162" customWidth="1"/>
    <col min="1791" max="1791" width="10.88671875" style="162" customWidth="1"/>
    <col min="1792" max="1792" width="4.44140625" style="162" customWidth="1"/>
    <col min="1793" max="1793" width="10.88671875" style="162" customWidth="1"/>
    <col min="1794" max="1794" width="4.44140625" style="162" customWidth="1"/>
    <col min="1795" max="1795" width="10.88671875" style="162" customWidth="1"/>
    <col min="1796" max="1796" width="4.44140625" style="162" customWidth="1"/>
    <col min="1797" max="1797" width="10.44140625" style="162" customWidth="1"/>
    <col min="1798" max="1798" width="4.44140625" style="162" customWidth="1"/>
    <col min="1799" max="1799" width="9" style="162" customWidth="1"/>
    <col min="1800" max="1800" width="4.44140625" style="162" customWidth="1"/>
    <col min="1801" max="1801" width="10.88671875" style="162" customWidth="1"/>
    <col min="1802" max="1802" width="2.88671875" style="162" customWidth="1"/>
    <col min="1803" max="1803" width="4.44140625" style="162" customWidth="1"/>
    <col min="1804" max="1804" width="7" style="162"/>
    <col min="1805" max="1805" width="7.5546875" style="162" bestFit="1" customWidth="1"/>
    <col min="1806" max="2042" width="7" style="162"/>
    <col min="2043" max="2043" width="4.44140625" style="162" customWidth="1"/>
    <col min="2044" max="2044" width="2.88671875" style="162" customWidth="1"/>
    <col min="2045" max="2045" width="33.44140625" style="162" customWidth="1"/>
    <col min="2046" max="2046" width="4.44140625" style="162" customWidth="1"/>
    <col min="2047" max="2047" width="10.88671875" style="162" customWidth="1"/>
    <col min="2048" max="2048" width="4.44140625" style="162" customWidth="1"/>
    <col min="2049" max="2049" width="10.88671875" style="162" customWidth="1"/>
    <col min="2050" max="2050" width="4.44140625" style="162" customWidth="1"/>
    <col min="2051" max="2051" width="10.88671875" style="162" customWidth="1"/>
    <col min="2052" max="2052" width="4.44140625" style="162" customWidth="1"/>
    <col min="2053" max="2053" width="10.44140625" style="162" customWidth="1"/>
    <col min="2054" max="2054" width="4.44140625" style="162" customWidth="1"/>
    <col min="2055" max="2055" width="9" style="162" customWidth="1"/>
    <col min="2056" max="2056" width="4.44140625" style="162" customWidth="1"/>
    <col min="2057" max="2057" width="10.88671875" style="162" customWidth="1"/>
    <col min="2058" max="2058" width="2.88671875" style="162" customWidth="1"/>
    <col min="2059" max="2059" width="4.44140625" style="162" customWidth="1"/>
    <col min="2060" max="2060" width="7" style="162"/>
    <col min="2061" max="2061" width="7.5546875" style="162" bestFit="1" customWidth="1"/>
    <col min="2062" max="2298" width="7" style="162"/>
    <col min="2299" max="2299" width="4.44140625" style="162" customWidth="1"/>
    <col min="2300" max="2300" width="2.88671875" style="162" customWidth="1"/>
    <col min="2301" max="2301" width="33.44140625" style="162" customWidth="1"/>
    <col min="2302" max="2302" width="4.44140625" style="162" customWidth="1"/>
    <col min="2303" max="2303" width="10.88671875" style="162" customWidth="1"/>
    <col min="2304" max="2304" width="4.44140625" style="162" customWidth="1"/>
    <col min="2305" max="2305" width="10.88671875" style="162" customWidth="1"/>
    <col min="2306" max="2306" width="4.44140625" style="162" customWidth="1"/>
    <col min="2307" max="2307" width="10.88671875" style="162" customWidth="1"/>
    <col min="2308" max="2308" width="4.44140625" style="162" customWidth="1"/>
    <col min="2309" max="2309" width="10.44140625" style="162" customWidth="1"/>
    <col min="2310" max="2310" width="4.44140625" style="162" customWidth="1"/>
    <col min="2311" max="2311" width="9" style="162" customWidth="1"/>
    <col min="2312" max="2312" width="4.44140625" style="162" customWidth="1"/>
    <col min="2313" max="2313" width="10.88671875" style="162" customWidth="1"/>
    <col min="2314" max="2314" width="2.88671875" style="162" customWidth="1"/>
    <col min="2315" max="2315" width="4.44140625" style="162" customWidth="1"/>
    <col min="2316" max="2316" width="7" style="162"/>
    <col min="2317" max="2317" width="7.5546875" style="162" bestFit="1" customWidth="1"/>
    <col min="2318" max="2554" width="7" style="162"/>
    <col min="2555" max="2555" width="4.44140625" style="162" customWidth="1"/>
    <col min="2556" max="2556" width="2.88671875" style="162" customWidth="1"/>
    <col min="2557" max="2557" width="33.44140625" style="162" customWidth="1"/>
    <col min="2558" max="2558" width="4.44140625" style="162" customWidth="1"/>
    <col min="2559" max="2559" width="10.88671875" style="162" customWidth="1"/>
    <col min="2560" max="2560" width="4.44140625" style="162" customWidth="1"/>
    <col min="2561" max="2561" width="10.88671875" style="162" customWidth="1"/>
    <col min="2562" max="2562" width="4.44140625" style="162" customWidth="1"/>
    <col min="2563" max="2563" width="10.88671875" style="162" customWidth="1"/>
    <col min="2564" max="2564" width="4.44140625" style="162" customWidth="1"/>
    <col min="2565" max="2565" width="10.44140625" style="162" customWidth="1"/>
    <col min="2566" max="2566" width="4.44140625" style="162" customWidth="1"/>
    <col min="2567" max="2567" width="9" style="162" customWidth="1"/>
    <col min="2568" max="2568" width="4.44140625" style="162" customWidth="1"/>
    <col min="2569" max="2569" width="10.88671875" style="162" customWidth="1"/>
    <col min="2570" max="2570" width="2.88671875" style="162" customWidth="1"/>
    <col min="2571" max="2571" width="4.44140625" style="162" customWidth="1"/>
    <col min="2572" max="2572" width="7" style="162"/>
    <col min="2573" max="2573" width="7.5546875" style="162" bestFit="1" customWidth="1"/>
    <col min="2574" max="2810" width="7" style="162"/>
    <col min="2811" max="2811" width="4.44140625" style="162" customWidth="1"/>
    <col min="2812" max="2812" width="2.88671875" style="162" customWidth="1"/>
    <col min="2813" max="2813" width="33.44140625" style="162" customWidth="1"/>
    <col min="2814" max="2814" width="4.44140625" style="162" customWidth="1"/>
    <col min="2815" max="2815" width="10.88671875" style="162" customWidth="1"/>
    <col min="2816" max="2816" width="4.44140625" style="162" customWidth="1"/>
    <col min="2817" max="2817" width="10.88671875" style="162" customWidth="1"/>
    <col min="2818" max="2818" width="4.44140625" style="162" customWidth="1"/>
    <col min="2819" max="2819" width="10.88671875" style="162" customWidth="1"/>
    <col min="2820" max="2820" width="4.44140625" style="162" customWidth="1"/>
    <col min="2821" max="2821" width="10.44140625" style="162" customWidth="1"/>
    <col min="2822" max="2822" width="4.44140625" style="162" customWidth="1"/>
    <col min="2823" max="2823" width="9" style="162" customWidth="1"/>
    <col min="2824" max="2824" width="4.44140625" style="162" customWidth="1"/>
    <col min="2825" max="2825" width="10.88671875" style="162" customWidth="1"/>
    <col min="2826" max="2826" width="2.88671875" style="162" customWidth="1"/>
    <col min="2827" max="2827" width="4.44140625" style="162" customWidth="1"/>
    <col min="2828" max="2828" width="7" style="162"/>
    <col min="2829" max="2829" width="7.5546875" style="162" bestFit="1" customWidth="1"/>
    <col min="2830" max="3066" width="7" style="162"/>
    <col min="3067" max="3067" width="4.44140625" style="162" customWidth="1"/>
    <col min="3068" max="3068" width="2.88671875" style="162" customWidth="1"/>
    <col min="3069" max="3069" width="33.44140625" style="162" customWidth="1"/>
    <col min="3070" max="3070" width="4.44140625" style="162" customWidth="1"/>
    <col min="3071" max="3071" width="10.88671875" style="162" customWidth="1"/>
    <col min="3072" max="3072" width="4.44140625" style="162" customWidth="1"/>
    <col min="3073" max="3073" width="10.88671875" style="162" customWidth="1"/>
    <col min="3074" max="3074" width="4.44140625" style="162" customWidth="1"/>
    <col min="3075" max="3075" width="10.88671875" style="162" customWidth="1"/>
    <col min="3076" max="3076" width="4.44140625" style="162" customWidth="1"/>
    <col min="3077" max="3077" width="10.44140625" style="162" customWidth="1"/>
    <col min="3078" max="3078" width="4.44140625" style="162" customWidth="1"/>
    <col min="3079" max="3079" width="9" style="162" customWidth="1"/>
    <col min="3080" max="3080" width="4.44140625" style="162" customWidth="1"/>
    <col min="3081" max="3081" width="10.88671875" style="162" customWidth="1"/>
    <col min="3082" max="3082" width="2.88671875" style="162" customWidth="1"/>
    <col min="3083" max="3083" width="4.44140625" style="162" customWidth="1"/>
    <col min="3084" max="3084" width="7" style="162"/>
    <col min="3085" max="3085" width="7.5546875" style="162" bestFit="1" customWidth="1"/>
    <col min="3086" max="3322" width="7" style="162"/>
    <col min="3323" max="3323" width="4.44140625" style="162" customWidth="1"/>
    <col min="3324" max="3324" width="2.88671875" style="162" customWidth="1"/>
    <col min="3325" max="3325" width="33.44140625" style="162" customWidth="1"/>
    <col min="3326" max="3326" width="4.44140625" style="162" customWidth="1"/>
    <col min="3327" max="3327" width="10.88671875" style="162" customWidth="1"/>
    <col min="3328" max="3328" width="4.44140625" style="162" customWidth="1"/>
    <col min="3329" max="3329" width="10.88671875" style="162" customWidth="1"/>
    <col min="3330" max="3330" width="4.44140625" style="162" customWidth="1"/>
    <col min="3331" max="3331" width="10.88671875" style="162" customWidth="1"/>
    <col min="3332" max="3332" width="4.44140625" style="162" customWidth="1"/>
    <col min="3333" max="3333" width="10.44140625" style="162" customWidth="1"/>
    <col min="3334" max="3334" width="4.44140625" style="162" customWidth="1"/>
    <col min="3335" max="3335" width="9" style="162" customWidth="1"/>
    <col min="3336" max="3336" width="4.44140625" style="162" customWidth="1"/>
    <col min="3337" max="3337" width="10.88671875" style="162" customWidth="1"/>
    <col min="3338" max="3338" width="2.88671875" style="162" customWidth="1"/>
    <col min="3339" max="3339" width="4.44140625" style="162" customWidth="1"/>
    <col min="3340" max="3340" width="7" style="162"/>
    <col min="3341" max="3341" width="7.5546875" style="162" bestFit="1" customWidth="1"/>
    <col min="3342" max="3578" width="7" style="162"/>
    <col min="3579" max="3579" width="4.44140625" style="162" customWidth="1"/>
    <col min="3580" max="3580" width="2.88671875" style="162" customWidth="1"/>
    <col min="3581" max="3581" width="33.44140625" style="162" customWidth="1"/>
    <col min="3582" max="3582" width="4.44140625" style="162" customWidth="1"/>
    <col min="3583" max="3583" width="10.88671875" style="162" customWidth="1"/>
    <col min="3584" max="3584" width="4.44140625" style="162" customWidth="1"/>
    <col min="3585" max="3585" width="10.88671875" style="162" customWidth="1"/>
    <col min="3586" max="3586" width="4.44140625" style="162" customWidth="1"/>
    <col min="3587" max="3587" width="10.88671875" style="162" customWidth="1"/>
    <col min="3588" max="3588" width="4.44140625" style="162" customWidth="1"/>
    <col min="3589" max="3589" width="10.44140625" style="162" customWidth="1"/>
    <col min="3590" max="3590" width="4.44140625" style="162" customWidth="1"/>
    <col min="3591" max="3591" width="9" style="162" customWidth="1"/>
    <col min="3592" max="3592" width="4.44140625" style="162" customWidth="1"/>
    <col min="3593" max="3593" width="10.88671875" style="162" customWidth="1"/>
    <col min="3594" max="3594" width="2.88671875" style="162" customWidth="1"/>
    <col min="3595" max="3595" width="4.44140625" style="162" customWidth="1"/>
    <col min="3596" max="3596" width="7" style="162"/>
    <col min="3597" max="3597" width="7.5546875" style="162" bestFit="1" customWidth="1"/>
    <col min="3598" max="3834" width="7" style="162"/>
    <col min="3835" max="3835" width="4.44140625" style="162" customWidth="1"/>
    <col min="3836" max="3836" width="2.88671875" style="162" customWidth="1"/>
    <col min="3837" max="3837" width="33.44140625" style="162" customWidth="1"/>
    <col min="3838" max="3838" width="4.44140625" style="162" customWidth="1"/>
    <col min="3839" max="3839" width="10.88671875" style="162" customWidth="1"/>
    <col min="3840" max="3840" width="4.44140625" style="162" customWidth="1"/>
    <col min="3841" max="3841" width="10.88671875" style="162" customWidth="1"/>
    <col min="3842" max="3842" width="4.44140625" style="162" customWidth="1"/>
    <col min="3843" max="3843" width="10.88671875" style="162" customWidth="1"/>
    <col min="3844" max="3844" width="4.44140625" style="162" customWidth="1"/>
    <col min="3845" max="3845" width="10.44140625" style="162" customWidth="1"/>
    <col min="3846" max="3846" width="4.44140625" style="162" customWidth="1"/>
    <col min="3847" max="3847" width="9" style="162" customWidth="1"/>
    <col min="3848" max="3848" width="4.44140625" style="162" customWidth="1"/>
    <col min="3849" max="3849" width="10.88671875" style="162" customWidth="1"/>
    <col min="3850" max="3850" width="2.88671875" style="162" customWidth="1"/>
    <col min="3851" max="3851" width="4.44140625" style="162" customWidth="1"/>
    <col min="3852" max="3852" width="7" style="162"/>
    <col min="3853" max="3853" width="7.5546875" style="162" bestFit="1" customWidth="1"/>
    <col min="3854" max="4090" width="7" style="162"/>
    <col min="4091" max="4091" width="4.44140625" style="162" customWidth="1"/>
    <col min="4092" max="4092" width="2.88671875" style="162" customWidth="1"/>
    <col min="4093" max="4093" width="33.44140625" style="162" customWidth="1"/>
    <col min="4094" max="4094" width="4.44140625" style="162" customWidth="1"/>
    <col min="4095" max="4095" width="10.88671875" style="162" customWidth="1"/>
    <col min="4096" max="4096" width="4.44140625" style="162" customWidth="1"/>
    <col min="4097" max="4097" width="10.88671875" style="162" customWidth="1"/>
    <col min="4098" max="4098" width="4.44140625" style="162" customWidth="1"/>
    <col min="4099" max="4099" width="10.88671875" style="162" customWidth="1"/>
    <col min="4100" max="4100" width="4.44140625" style="162" customWidth="1"/>
    <col min="4101" max="4101" width="10.44140625" style="162" customWidth="1"/>
    <col min="4102" max="4102" width="4.44140625" style="162" customWidth="1"/>
    <col min="4103" max="4103" width="9" style="162" customWidth="1"/>
    <col min="4104" max="4104" width="4.44140625" style="162" customWidth="1"/>
    <col min="4105" max="4105" width="10.88671875" style="162" customWidth="1"/>
    <col min="4106" max="4106" width="2.88671875" style="162" customWidth="1"/>
    <col min="4107" max="4107" width="4.44140625" style="162" customWidth="1"/>
    <col min="4108" max="4108" width="7" style="162"/>
    <col min="4109" max="4109" width="7.5546875" style="162" bestFit="1" customWidth="1"/>
    <col min="4110" max="4346" width="7" style="162"/>
    <col min="4347" max="4347" width="4.44140625" style="162" customWidth="1"/>
    <col min="4348" max="4348" width="2.88671875" style="162" customWidth="1"/>
    <col min="4349" max="4349" width="33.44140625" style="162" customWidth="1"/>
    <col min="4350" max="4350" width="4.44140625" style="162" customWidth="1"/>
    <col min="4351" max="4351" width="10.88671875" style="162" customWidth="1"/>
    <col min="4352" max="4352" width="4.44140625" style="162" customWidth="1"/>
    <col min="4353" max="4353" width="10.88671875" style="162" customWidth="1"/>
    <col min="4354" max="4354" width="4.44140625" style="162" customWidth="1"/>
    <col min="4355" max="4355" width="10.88671875" style="162" customWidth="1"/>
    <col min="4356" max="4356" width="4.44140625" style="162" customWidth="1"/>
    <col min="4357" max="4357" width="10.44140625" style="162" customWidth="1"/>
    <col min="4358" max="4358" width="4.44140625" style="162" customWidth="1"/>
    <col min="4359" max="4359" width="9" style="162" customWidth="1"/>
    <col min="4360" max="4360" width="4.44140625" style="162" customWidth="1"/>
    <col min="4361" max="4361" width="10.88671875" style="162" customWidth="1"/>
    <col min="4362" max="4362" width="2.88671875" style="162" customWidth="1"/>
    <col min="4363" max="4363" width="4.44140625" style="162" customWidth="1"/>
    <col min="4364" max="4364" width="7" style="162"/>
    <col min="4365" max="4365" width="7.5546875" style="162" bestFit="1" customWidth="1"/>
    <col min="4366" max="4602" width="7" style="162"/>
    <col min="4603" max="4603" width="4.44140625" style="162" customWidth="1"/>
    <col min="4604" max="4604" width="2.88671875" style="162" customWidth="1"/>
    <col min="4605" max="4605" width="33.44140625" style="162" customWidth="1"/>
    <col min="4606" max="4606" width="4.44140625" style="162" customWidth="1"/>
    <col min="4607" max="4607" width="10.88671875" style="162" customWidth="1"/>
    <col min="4608" max="4608" width="4.44140625" style="162" customWidth="1"/>
    <col min="4609" max="4609" width="10.88671875" style="162" customWidth="1"/>
    <col min="4610" max="4610" width="4.44140625" style="162" customWidth="1"/>
    <col min="4611" max="4611" width="10.88671875" style="162" customWidth="1"/>
    <col min="4612" max="4612" width="4.44140625" style="162" customWidth="1"/>
    <col min="4613" max="4613" width="10.44140625" style="162" customWidth="1"/>
    <col min="4614" max="4614" width="4.44140625" style="162" customWidth="1"/>
    <col min="4615" max="4615" width="9" style="162" customWidth="1"/>
    <col min="4616" max="4616" width="4.44140625" style="162" customWidth="1"/>
    <col min="4617" max="4617" width="10.88671875" style="162" customWidth="1"/>
    <col min="4618" max="4618" width="2.88671875" style="162" customWidth="1"/>
    <col min="4619" max="4619" width="4.44140625" style="162" customWidth="1"/>
    <col min="4620" max="4620" width="7" style="162"/>
    <col min="4621" max="4621" width="7.5546875" style="162" bestFit="1" customWidth="1"/>
    <col min="4622" max="4858" width="7" style="162"/>
    <col min="4859" max="4859" width="4.44140625" style="162" customWidth="1"/>
    <col min="4860" max="4860" width="2.88671875" style="162" customWidth="1"/>
    <col min="4861" max="4861" width="33.44140625" style="162" customWidth="1"/>
    <col min="4862" max="4862" width="4.44140625" style="162" customWidth="1"/>
    <col min="4863" max="4863" width="10.88671875" style="162" customWidth="1"/>
    <col min="4864" max="4864" width="4.44140625" style="162" customWidth="1"/>
    <col min="4865" max="4865" width="10.88671875" style="162" customWidth="1"/>
    <col min="4866" max="4866" width="4.44140625" style="162" customWidth="1"/>
    <col min="4867" max="4867" width="10.88671875" style="162" customWidth="1"/>
    <col min="4868" max="4868" width="4.44140625" style="162" customWidth="1"/>
    <col min="4869" max="4869" width="10.44140625" style="162" customWidth="1"/>
    <col min="4870" max="4870" width="4.44140625" style="162" customWidth="1"/>
    <col min="4871" max="4871" width="9" style="162" customWidth="1"/>
    <col min="4872" max="4872" width="4.44140625" style="162" customWidth="1"/>
    <col min="4873" max="4873" width="10.88671875" style="162" customWidth="1"/>
    <col min="4874" max="4874" width="2.88671875" style="162" customWidth="1"/>
    <col min="4875" max="4875" width="4.44140625" style="162" customWidth="1"/>
    <col min="4876" max="4876" width="7" style="162"/>
    <col min="4877" max="4877" width="7.5546875" style="162" bestFit="1" customWidth="1"/>
    <col min="4878" max="5114" width="7" style="162"/>
    <col min="5115" max="5115" width="4.44140625" style="162" customWidth="1"/>
    <col min="5116" max="5116" width="2.88671875" style="162" customWidth="1"/>
    <col min="5117" max="5117" width="33.44140625" style="162" customWidth="1"/>
    <col min="5118" max="5118" width="4.44140625" style="162" customWidth="1"/>
    <col min="5119" max="5119" width="10.88671875" style="162" customWidth="1"/>
    <col min="5120" max="5120" width="4.44140625" style="162" customWidth="1"/>
    <col min="5121" max="5121" width="10.88671875" style="162" customWidth="1"/>
    <col min="5122" max="5122" width="4.44140625" style="162" customWidth="1"/>
    <col min="5123" max="5123" width="10.88671875" style="162" customWidth="1"/>
    <col min="5124" max="5124" width="4.44140625" style="162" customWidth="1"/>
    <col min="5125" max="5125" width="10.44140625" style="162" customWidth="1"/>
    <col min="5126" max="5126" width="4.44140625" style="162" customWidth="1"/>
    <col min="5127" max="5127" width="9" style="162" customWidth="1"/>
    <col min="5128" max="5128" width="4.44140625" style="162" customWidth="1"/>
    <col min="5129" max="5129" width="10.88671875" style="162" customWidth="1"/>
    <col min="5130" max="5130" width="2.88671875" style="162" customWidth="1"/>
    <col min="5131" max="5131" width="4.44140625" style="162" customWidth="1"/>
    <col min="5132" max="5132" width="7" style="162"/>
    <col min="5133" max="5133" width="7.5546875" style="162" bestFit="1" customWidth="1"/>
    <col min="5134" max="5370" width="7" style="162"/>
    <col min="5371" max="5371" width="4.44140625" style="162" customWidth="1"/>
    <col min="5372" max="5372" width="2.88671875" style="162" customWidth="1"/>
    <col min="5373" max="5373" width="33.44140625" style="162" customWidth="1"/>
    <col min="5374" max="5374" width="4.44140625" style="162" customWidth="1"/>
    <col min="5375" max="5375" width="10.88671875" style="162" customWidth="1"/>
    <col min="5376" max="5376" width="4.44140625" style="162" customWidth="1"/>
    <col min="5377" max="5377" width="10.88671875" style="162" customWidth="1"/>
    <col min="5378" max="5378" width="4.44140625" style="162" customWidth="1"/>
    <col min="5379" max="5379" width="10.88671875" style="162" customWidth="1"/>
    <col min="5380" max="5380" width="4.44140625" style="162" customWidth="1"/>
    <col min="5381" max="5381" width="10.44140625" style="162" customWidth="1"/>
    <col min="5382" max="5382" width="4.44140625" style="162" customWidth="1"/>
    <col min="5383" max="5383" width="9" style="162" customWidth="1"/>
    <col min="5384" max="5384" width="4.44140625" style="162" customWidth="1"/>
    <col min="5385" max="5385" width="10.88671875" style="162" customWidth="1"/>
    <col min="5386" max="5386" width="2.88671875" style="162" customWidth="1"/>
    <col min="5387" max="5387" width="4.44140625" style="162" customWidth="1"/>
    <col min="5388" max="5388" width="7" style="162"/>
    <col min="5389" max="5389" width="7.5546875" style="162" bestFit="1" customWidth="1"/>
    <col min="5390" max="5626" width="7" style="162"/>
    <col min="5627" max="5627" width="4.44140625" style="162" customWidth="1"/>
    <col min="5628" max="5628" width="2.88671875" style="162" customWidth="1"/>
    <col min="5629" max="5629" width="33.44140625" style="162" customWidth="1"/>
    <col min="5630" max="5630" width="4.44140625" style="162" customWidth="1"/>
    <col min="5631" max="5631" width="10.88671875" style="162" customWidth="1"/>
    <col min="5632" max="5632" width="4.44140625" style="162" customWidth="1"/>
    <col min="5633" max="5633" width="10.88671875" style="162" customWidth="1"/>
    <col min="5634" max="5634" width="4.44140625" style="162" customWidth="1"/>
    <col min="5635" max="5635" width="10.88671875" style="162" customWidth="1"/>
    <col min="5636" max="5636" width="4.44140625" style="162" customWidth="1"/>
    <col min="5637" max="5637" width="10.44140625" style="162" customWidth="1"/>
    <col min="5638" max="5638" width="4.44140625" style="162" customWidth="1"/>
    <col min="5639" max="5639" width="9" style="162" customWidth="1"/>
    <col min="5640" max="5640" width="4.44140625" style="162" customWidth="1"/>
    <col min="5641" max="5641" width="10.88671875" style="162" customWidth="1"/>
    <col min="5642" max="5642" width="2.88671875" style="162" customWidth="1"/>
    <col min="5643" max="5643" width="4.44140625" style="162" customWidth="1"/>
    <col min="5644" max="5644" width="7" style="162"/>
    <col min="5645" max="5645" width="7.5546875" style="162" bestFit="1" customWidth="1"/>
    <col min="5646" max="5882" width="7" style="162"/>
    <col min="5883" max="5883" width="4.44140625" style="162" customWidth="1"/>
    <col min="5884" max="5884" width="2.88671875" style="162" customWidth="1"/>
    <col min="5885" max="5885" width="33.44140625" style="162" customWidth="1"/>
    <col min="5886" max="5886" width="4.44140625" style="162" customWidth="1"/>
    <col min="5887" max="5887" width="10.88671875" style="162" customWidth="1"/>
    <col min="5888" max="5888" width="4.44140625" style="162" customWidth="1"/>
    <col min="5889" max="5889" width="10.88671875" style="162" customWidth="1"/>
    <col min="5890" max="5890" width="4.44140625" style="162" customWidth="1"/>
    <col min="5891" max="5891" width="10.88671875" style="162" customWidth="1"/>
    <col min="5892" max="5892" width="4.44140625" style="162" customWidth="1"/>
    <col min="5893" max="5893" width="10.44140625" style="162" customWidth="1"/>
    <col min="5894" max="5894" width="4.44140625" style="162" customWidth="1"/>
    <col min="5895" max="5895" width="9" style="162" customWidth="1"/>
    <col min="5896" max="5896" width="4.44140625" style="162" customWidth="1"/>
    <col min="5897" max="5897" width="10.88671875" style="162" customWidth="1"/>
    <col min="5898" max="5898" width="2.88671875" style="162" customWidth="1"/>
    <col min="5899" max="5899" width="4.44140625" style="162" customWidth="1"/>
    <col min="5900" max="5900" width="7" style="162"/>
    <col min="5901" max="5901" width="7.5546875" style="162" bestFit="1" customWidth="1"/>
    <col min="5902" max="6138" width="7" style="162"/>
    <col min="6139" max="6139" width="4.44140625" style="162" customWidth="1"/>
    <col min="6140" max="6140" width="2.88671875" style="162" customWidth="1"/>
    <col min="6141" max="6141" width="33.44140625" style="162" customWidth="1"/>
    <col min="6142" max="6142" width="4.44140625" style="162" customWidth="1"/>
    <col min="6143" max="6143" width="10.88671875" style="162" customWidth="1"/>
    <col min="6144" max="6144" width="4.44140625" style="162" customWidth="1"/>
    <col min="6145" max="6145" width="10.88671875" style="162" customWidth="1"/>
    <col min="6146" max="6146" width="4.44140625" style="162" customWidth="1"/>
    <col min="6147" max="6147" width="10.88671875" style="162" customWidth="1"/>
    <col min="6148" max="6148" width="4.44140625" style="162" customWidth="1"/>
    <col min="6149" max="6149" width="10.44140625" style="162" customWidth="1"/>
    <col min="6150" max="6150" width="4.44140625" style="162" customWidth="1"/>
    <col min="6151" max="6151" width="9" style="162" customWidth="1"/>
    <col min="6152" max="6152" width="4.44140625" style="162" customWidth="1"/>
    <col min="6153" max="6153" width="10.88671875" style="162" customWidth="1"/>
    <col min="6154" max="6154" width="2.88671875" style="162" customWidth="1"/>
    <col min="6155" max="6155" width="4.44140625" style="162" customWidth="1"/>
    <col min="6156" max="6156" width="7" style="162"/>
    <col min="6157" max="6157" width="7.5546875" style="162" bestFit="1" customWidth="1"/>
    <col min="6158" max="6394" width="7" style="162"/>
    <col min="6395" max="6395" width="4.44140625" style="162" customWidth="1"/>
    <col min="6396" max="6396" width="2.88671875" style="162" customWidth="1"/>
    <col min="6397" max="6397" width="33.44140625" style="162" customWidth="1"/>
    <col min="6398" max="6398" width="4.44140625" style="162" customWidth="1"/>
    <col min="6399" max="6399" width="10.88671875" style="162" customWidth="1"/>
    <col min="6400" max="6400" width="4.44140625" style="162" customWidth="1"/>
    <col min="6401" max="6401" width="10.88671875" style="162" customWidth="1"/>
    <col min="6402" max="6402" width="4.44140625" style="162" customWidth="1"/>
    <col min="6403" max="6403" width="10.88671875" style="162" customWidth="1"/>
    <col min="6404" max="6404" width="4.44140625" style="162" customWidth="1"/>
    <col min="6405" max="6405" width="10.44140625" style="162" customWidth="1"/>
    <col min="6406" max="6406" width="4.44140625" style="162" customWidth="1"/>
    <col min="6407" max="6407" width="9" style="162" customWidth="1"/>
    <col min="6408" max="6408" width="4.44140625" style="162" customWidth="1"/>
    <col min="6409" max="6409" width="10.88671875" style="162" customWidth="1"/>
    <col min="6410" max="6410" width="2.88671875" style="162" customWidth="1"/>
    <col min="6411" max="6411" width="4.44140625" style="162" customWidth="1"/>
    <col min="6412" max="6412" width="7" style="162"/>
    <col min="6413" max="6413" width="7.5546875" style="162" bestFit="1" customWidth="1"/>
    <col min="6414" max="6650" width="7" style="162"/>
    <col min="6651" max="6651" width="4.44140625" style="162" customWidth="1"/>
    <col min="6652" max="6652" width="2.88671875" style="162" customWidth="1"/>
    <col min="6653" max="6653" width="33.44140625" style="162" customWidth="1"/>
    <col min="6654" max="6654" width="4.44140625" style="162" customWidth="1"/>
    <col min="6655" max="6655" width="10.88671875" style="162" customWidth="1"/>
    <col min="6656" max="6656" width="4.44140625" style="162" customWidth="1"/>
    <col min="6657" max="6657" width="10.88671875" style="162" customWidth="1"/>
    <col min="6658" max="6658" width="4.44140625" style="162" customWidth="1"/>
    <col min="6659" max="6659" width="10.88671875" style="162" customWidth="1"/>
    <col min="6660" max="6660" width="4.44140625" style="162" customWidth="1"/>
    <col min="6661" max="6661" width="10.44140625" style="162" customWidth="1"/>
    <col min="6662" max="6662" width="4.44140625" style="162" customWidth="1"/>
    <col min="6663" max="6663" width="9" style="162" customWidth="1"/>
    <col min="6664" max="6664" width="4.44140625" style="162" customWidth="1"/>
    <col min="6665" max="6665" width="10.88671875" style="162" customWidth="1"/>
    <col min="6666" max="6666" width="2.88671875" style="162" customWidth="1"/>
    <col min="6667" max="6667" width="4.44140625" style="162" customWidth="1"/>
    <col min="6668" max="6668" width="7" style="162"/>
    <col min="6669" max="6669" width="7.5546875" style="162" bestFit="1" customWidth="1"/>
    <col min="6670" max="6906" width="7" style="162"/>
    <col min="6907" max="6907" width="4.44140625" style="162" customWidth="1"/>
    <col min="6908" max="6908" width="2.88671875" style="162" customWidth="1"/>
    <col min="6909" max="6909" width="33.44140625" style="162" customWidth="1"/>
    <col min="6910" max="6910" width="4.44140625" style="162" customWidth="1"/>
    <col min="6911" max="6911" width="10.88671875" style="162" customWidth="1"/>
    <col min="6912" max="6912" width="4.44140625" style="162" customWidth="1"/>
    <col min="6913" max="6913" width="10.88671875" style="162" customWidth="1"/>
    <col min="6914" max="6914" width="4.44140625" style="162" customWidth="1"/>
    <col min="6915" max="6915" width="10.88671875" style="162" customWidth="1"/>
    <col min="6916" max="6916" width="4.44140625" style="162" customWidth="1"/>
    <col min="6917" max="6917" width="10.44140625" style="162" customWidth="1"/>
    <col min="6918" max="6918" width="4.44140625" style="162" customWidth="1"/>
    <col min="6919" max="6919" width="9" style="162" customWidth="1"/>
    <col min="6920" max="6920" width="4.44140625" style="162" customWidth="1"/>
    <col min="6921" max="6921" width="10.88671875" style="162" customWidth="1"/>
    <col min="6922" max="6922" width="2.88671875" style="162" customWidth="1"/>
    <col min="6923" max="6923" width="4.44140625" style="162" customWidth="1"/>
    <col min="6924" max="6924" width="7" style="162"/>
    <col min="6925" max="6925" width="7.5546875" style="162" bestFit="1" customWidth="1"/>
    <col min="6926" max="7162" width="7" style="162"/>
    <col min="7163" max="7163" width="4.44140625" style="162" customWidth="1"/>
    <col min="7164" max="7164" width="2.88671875" style="162" customWidth="1"/>
    <col min="7165" max="7165" width="33.44140625" style="162" customWidth="1"/>
    <col min="7166" max="7166" width="4.44140625" style="162" customWidth="1"/>
    <col min="7167" max="7167" width="10.88671875" style="162" customWidth="1"/>
    <col min="7168" max="7168" width="4.44140625" style="162" customWidth="1"/>
    <col min="7169" max="7169" width="10.88671875" style="162" customWidth="1"/>
    <col min="7170" max="7170" width="4.44140625" style="162" customWidth="1"/>
    <col min="7171" max="7171" width="10.88671875" style="162" customWidth="1"/>
    <col min="7172" max="7172" width="4.44140625" style="162" customWidth="1"/>
    <col min="7173" max="7173" width="10.44140625" style="162" customWidth="1"/>
    <col min="7174" max="7174" width="4.44140625" style="162" customWidth="1"/>
    <col min="7175" max="7175" width="9" style="162" customWidth="1"/>
    <col min="7176" max="7176" width="4.44140625" style="162" customWidth="1"/>
    <col min="7177" max="7177" width="10.88671875" style="162" customWidth="1"/>
    <col min="7178" max="7178" width="2.88671875" style="162" customWidth="1"/>
    <col min="7179" max="7179" width="4.44140625" style="162" customWidth="1"/>
    <col min="7180" max="7180" width="7" style="162"/>
    <col min="7181" max="7181" width="7.5546875" style="162" bestFit="1" customWidth="1"/>
    <col min="7182" max="7418" width="7" style="162"/>
    <col min="7419" max="7419" width="4.44140625" style="162" customWidth="1"/>
    <col min="7420" max="7420" width="2.88671875" style="162" customWidth="1"/>
    <col min="7421" max="7421" width="33.44140625" style="162" customWidth="1"/>
    <col min="7422" max="7422" width="4.44140625" style="162" customWidth="1"/>
    <col min="7423" max="7423" width="10.88671875" style="162" customWidth="1"/>
    <col min="7424" max="7424" width="4.44140625" style="162" customWidth="1"/>
    <col min="7425" max="7425" width="10.88671875" style="162" customWidth="1"/>
    <col min="7426" max="7426" width="4.44140625" style="162" customWidth="1"/>
    <col min="7427" max="7427" width="10.88671875" style="162" customWidth="1"/>
    <col min="7428" max="7428" width="4.44140625" style="162" customWidth="1"/>
    <col min="7429" max="7429" width="10.44140625" style="162" customWidth="1"/>
    <col min="7430" max="7430" width="4.44140625" style="162" customWidth="1"/>
    <col min="7431" max="7431" width="9" style="162" customWidth="1"/>
    <col min="7432" max="7432" width="4.44140625" style="162" customWidth="1"/>
    <col min="7433" max="7433" width="10.88671875" style="162" customWidth="1"/>
    <col min="7434" max="7434" width="2.88671875" style="162" customWidth="1"/>
    <col min="7435" max="7435" width="4.44140625" style="162" customWidth="1"/>
    <col min="7436" max="7436" width="7" style="162"/>
    <col min="7437" max="7437" width="7.5546875" style="162" bestFit="1" customWidth="1"/>
    <col min="7438" max="7674" width="7" style="162"/>
    <col min="7675" max="7675" width="4.44140625" style="162" customWidth="1"/>
    <col min="7676" max="7676" width="2.88671875" style="162" customWidth="1"/>
    <col min="7677" max="7677" width="33.44140625" style="162" customWidth="1"/>
    <col min="7678" max="7678" width="4.44140625" style="162" customWidth="1"/>
    <col min="7679" max="7679" width="10.88671875" style="162" customWidth="1"/>
    <col min="7680" max="7680" width="4.44140625" style="162" customWidth="1"/>
    <col min="7681" max="7681" width="10.88671875" style="162" customWidth="1"/>
    <col min="7682" max="7682" width="4.44140625" style="162" customWidth="1"/>
    <col min="7683" max="7683" width="10.88671875" style="162" customWidth="1"/>
    <col min="7684" max="7684" width="4.44140625" style="162" customWidth="1"/>
    <col min="7685" max="7685" width="10.44140625" style="162" customWidth="1"/>
    <col min="7686" max="7686" width="4.44140625" style="162" customWidth="1"/>
    <col min="7687" max="7687" width="9" style="162" customWidth="1"/>
    <col min="7688" max="7688" width="4.44140625" style="162" customWidth="1"/>
    <col min="7689" max="7689" width="10.88671875" style="162" customWidth="1"/>
    <col min="7690" max="7690" width="2.88671875" style="162" customWidth="1"/>
    <col min="7691" max="7691" width="4.44140625" style="162" customWidth="1"/>
    <col min="7692" max="7692" width="7" style="162"/>
    <col min="7693" max="7693" width="7.5546875" style="162" bestFit="1" customWidth="1"/>
    <col min="7694" max="7930" width="7" style="162"/>
    <col min="7931" max="7931" width="4.44140625" style="162" customWidth="1"/>
    <col min="7932" max="7932" width="2.88671875" style="162" customWidth="1"/>
    <col min="7933" max="7933" width="33.44140625" style="162" customWidth="1"/>
    <col min="7934" max="7934" width="4.44140625" style="162" customWidth="1"/>
    <col min="7935" max="7935" width="10.88671875" style="162" customWidth="1"/>
    <col min="7936" max="7936" width="4.44140625" style="162" customWidth="1"/>
    <col min="7937" max="7937" width="10.88671875" style="162" customWidth="1"/>
    <col min="7938" max="7938" width="4.44140625" style="162" customWidth="1"/>
    <col min="7939" max="7939" width="10.88671875" style="162" customWidth="1"/>
    <col min="7940" max="7940" width="4.44140625" style="162" customWidth="1"/>
    <col min="7941" max="7941" width="10.44140625" style="162" customWidth="1"/>
    <col min="7942" max="7942" width="4.44140625" style="162" customWidth="1"/>
    <col min="7943" max="7943" width="9" style="162" customWidth="1"/>
    <col min="7944" max="7944" width="4.44140625" style="162" customWidth="1"/>
    <col min="7945" max="7945" width="10.88671875" style="162" customWidth="1"/>
    <col min="7946" max="7946" width="2.88671875" style="162" customWidth="1"/>
    <col min="7947" max="7947" width="4.44140625" style="162" customWidth="1"/>
    <col min="7948" max="7948" width="7" style="162"/>
    <col min="7949" max="7949" width="7.5546875" style="162" bestFit="1" customWidth="1"/>
    <col min="7950" max="8186" width="7" style="162"/>
    <col min="8187" max="8187" width="4.44140625" style="162" customWidth="1"/>
    <col min="8188" max="8188" width="2.88671875" style="162" customWidth="1"/>
    <col min="8189" max="8189" width="33.44140625" style="162" customWidth="1"/>
    <col min="8190" max="8190" width="4.44140625" style="162" customWidth="1"/>
    <col min="8191" max="8191" width="10.88671875" style="162" customWidth="1"/>
    <col min="8192" max="8192" width="4.44140625" style="162" customWidth="1"/>
    <col min="8193" max="8193" width="10.88671875" style="162" customWidth="1"/>
    <col min="8194" max="8194" width="4.44140625" style="162" customWidth="1"/>
    <col min="8195" max="8195" width="10.88671875" style="162" customWidth="1"/>
    <col min="8196" max="8196" width="4.44140625" style="162" customWidth="1"/>
    <col min="8197" max="8197" width="10.44140625" style="162" customWidth="1"/>
    <col min="8198" max="8198" width="4.44140625" style="162" customWidth="1"/>
    <col min="8199" max="8199" width="9" style="162" customWidth="1"/>
    <col min="8200" max="8200" width="4.44140625" style="162" customWidth="1"/>
    <col min="8201" max="8201" width="10.88671875" style="162" customWidth="1"/>
    <col min="8202" max="8202" width="2.88671875" style="162" customWidth="1"/>
    <col min="8203" max="8203" width="4.44140625" style="162" customWidth="1"/>
    <col min="8204" max="8204" width="7" style="162"/>
    <col min="8205" max="8205" width="7.5546875" style="162" bestFit="1" customWidth="1"/>
    <col min="8206" max="8442" width="7" style="162"/>
    <col min="8443" max="8443" width="4.44140625" style="162" customWidth="1"/>
    <col min="8444" max="8444" width="2.88671875" style="162" customWidth="1"/>
    <col min="8445" max="8445" width="33.44140625" style="162" customWidth="1"/>
    <col min="8446" max="8446" width="4.44140625" style="162" customWidth="1"/>
    <col min="8447" max="8447" width="10.88671875" style="162" customWidth="1"/>
    <col min="8448" max="8448" width="4.44140625" style="162" customWidth="1"/>
    <col min="8449" max="8449" width="10.88671875" style="162" customWidth="1"/>
    <col min="8450" max="8450" width="4.44140625" style="162" customWidth="1"/>
    <col min="8451" max="8451" width="10.88671875" style="162" customWidth="1"/>
    <col min="8452" max="8452" width="4.44140625" style="162" customWidth="1"/>
    <col min="8453" max="8453" width="10.44140625" style="162" customWidth="1"/>
    <col min="8454" max="8454" width="4.44140625" style="162" customWidth="1"/>
    <col min="8455" max="8455" width="9" style="162" customWidth="1"/>
    <col min="8456" max="8456" width="4.44140625" style="162" customWidth="1"/>
    <col min="8457" max="8457" width="10.88671875" style="162" customWidth="1"/>
    <col min="8458" max="8458" width="2.88671875" style="162" customWidth="1"/>
    <col min="8459" max="8459" width="4.44140625" style="162" customWidth="1"/>
    <col min="8460" max="8460" width="7" style="162"/>
    <col min="8461" max="8461" width="7.5546875" style="162" bestFit="1" customWidth="1"/>
    <col min="8462" max="8698" width="7" style="162"/>
    <col min="8699" max="8699" width="4.44140625" style="162" customWidth="1"/>
    <col min="8700" max="8700" width="2.88671875" style="162" customWidth="1"/>
    <col min="8701" max="8701" width="33.44140625" style="162" customWidth="1"/>
    <col min="8702" max="8702" width="4.44140625" style="162" customWidth="1"/>
    <col min="8703" max="8703" width="10.88671875" style="162" customWidth="1"/>
    <col min="8704" max="8704" width="4.44140625" style="162" customWidth="1"/>
    <col min="8705" max="8705" width="10.88671875" style="162" customWidth="1"/>
    <col min="8706" max="8706" width="4.44140625" style="162" customWidth="1"/>
    <col min="8707" max="8707" width="10.88671875" style="162" customWidth="1"/>
    <col min="8708" max="8708" width="4.44140625" style="162" customWidth="1"/>
    <col min="8709" max="8709" width="10.44140625" style="162" customWidth="1"/>
    <col min="8710" max="8710" width="4.44140625" style="162" customWidth="1"/>
    <col min="8711" max="8711" width="9" style="162" customWidth="1"/>
    <col min="8712" max="8712" width="4.44140625" style="162" customWidth="1"/>
    <col min="8713" max="8713" width="10.88671875" style="162" customWidth="1"/>
    <col min="8714" max="8714" width="2.88671875" style="162" customWidth="1"/>
    <col min="8715" max="8715" width="4.44140625" style="162" customWidth="1"/>
    <col min="8716" max="8716" width="7" style="162"/>
    <col min="8717" max="8717" width="7.5546875" style="162" bestFit="1" customWidth="1"/>
    <col min="8718" max="8954" width="7" style="162"/>
    <col min="8955" max="8955" width="4.44140625" style="162" customWidth="1"/>
    <col min="8956" max="8956" width="2.88671875" style="162" customWidth="1"/>
    <col min="8957" max="8957" width="33.44140625" style="162" customWidth="1"/>
    <col min="8958" max="8958" width="4.44140625" style="162" customWidth="1"/>
    <col min="8959" max="8959" width="10.88671875" style="162" customWidth="1"/>
    <col min="8960" max="8960" width="4.44140625" style="162" customWidth="1"/>
    <col min="8961" max="8961" width="10.88671875" style="162" customWidth="1"/>
    <col min="8962" max="8962" width="4.44140625" style="162" customWidth="1"/>
    <col min="8963" max="8963" width="10.88671875" style="162" customWidth="1"/>
    <col min="8964" max="8964" width="4.44140625" style="162" customWidth="1"/>
    <col min="8965" max="8965" width="10.44140625" style="162" customWidth="1"/>
    <col min="8966" max="8966" width="4.44140625" style="162" customWidth="1"/>
    <col min="8967" max="8967" width="9" style="162" customWidth="1"/>
    <col min="8968" max="8968" width="4.44140625" style="162" customWidth="1"/>
    <col min="8969" max="8969" width="10.88671875" style="162" customWidth="1"/>
    <col min="8970" max="8970" width="2.88671875" style="162" customWidth="1"/>
    <col min="8971" max="8971" width="4.44140625" style="162" customWidth="1"/>
    <col min="8972" max="8972" width="7" style="162"/>
    <col min="8973" max="8973" width="7.5546875" style="162" bestFit="1" customWidth="1"/>
    <col min="8974" max="9210" width="7" style="162"/>
    <col min="9211" max="9211" width="4.44140625" style="162" customWidth="1"/>
    <col min="9212" max="9212" width="2.88671875" style="162" customWidth="1"/>
    <col min="9213" max="9213" width="33.44140625" style="162" customWidth="1"/>
    <col min="9214" max="9214" width="4.44140625" style="162" customWidth="1"/>
    <col min="9215" max="9215" width="10.88671875" style="162" customWidth="1"/>
    <col min="9216" max="9216" width="4.44140625" style="162" customWidth="1"/>
    <col min="9217" max="9217" width="10.88671875" style="162" customWidth="1"/>
    <col min="9218" max="9218" width="4.44140625" style="162" customWidth="1"/>
    <col min="9219" max="9219" width="10.88671875" style="162" customWidth="1"/>
    <col min="9220" max="9220" width="4.44140625" style="162" customWidth="1"/>
    <col min="9221" max="9221" width="10.44140625" style="162" customWidth="1"/>
    <col min="9222" max="9222" width="4.44140625" style="162" customWidth="1"/>
    <col min="9223" max="9223" width="9" style="162" customWidth="1"/>
    <col min="9224" max="9224" width="4.44140625" style="162" customWidth="1"/>
    <col min="9225" max="9225" width="10.88671875" style="162" customWidth="1"/>
    <col min="9226" max="9226" width="2.88671875" style="162" customWidth="1"/>
    <col min="9227" max="9227" width="4.44140625" style="162" customWidth="1"/>
    <col min="9228" max="9228" width="7" style="162"/>
    <col min="9229" max="9229" width="7.5546875" style="162" bestFit="1" customWidth="1"/>
    <col min="9230" max="9466" width="7" style="162"/>
    <col min="9467" max="9467" width="4.44140625" style="162" customWidth="1"/>
    <col min="9468" max="9468" width="2.88671875" style="162" customWidth="1"/>
    <col min="9469" max="9469" width="33.44140625" style="162" customWidth="1"/>
    <col min="9470" max="9470" width="4.44140625" style="162" customWidth="1"/>
    <col min="9471" max="9471" width="10.88671875" style="162" customWidth="1"/>
    <col min="9472" max="9472" width="4.44140625" style="162" customWidth="1"/>
    <col min="9473" max="9473" width="10.88671875" style="162" customWidth="1"/>
    <col min="9474" max="9474" width="4.44140625" style="162" customWidth="1"/>
    <col min="9475" max="9475" width="10.88671875" style="162" customWidth="1"/>
    <col min="9476" max="9476" width="4.44140625" style="162" customWidth="1"/>
    <col min="9477" max="9477" width="10.44140625" style="162" customWidth="1"/>
    <col min="9478" max="9478" width="4.44140625" style="162" customWidth="1"/>
    <col min="9479" max="9479" width="9" style="162" customWidth="1"/>
    <col min="9480" max="9480" width="4.44140625" style="162" customWidth="1"/>
    <col min="9481" max="9481" width="10.88671875" style="162" customWidth="1"/>
    <col min="9482" max="9482" width="2.88671875" style="162" customWidth="1"/>
    <col min="9483" max="9483" width="4.44140625" style="162" customWidth="1"/>
    <col min="9484" max="9484" width="7" style="162"/>
    <col min="9485" max="9485" width="7.5546875" style="162" bestFit="1" customWidth="1"/>
    <col min="9486" max="9722" width="7" style="162"/>
    <col min="9723" max="9723" width="4.44140625" style="162" customWidth="1"/>
    <col min="9724" max="9724" width="2.88671875" style="162" customWidth="1"/>
    <col min="9725" max="9725" width="33.44140625" style="162" customWidth="1"/>
    <col min="9726" max="9726" width="4.44140625" style="162" customWidth="1"/>
    <col min="9727" max="9727" width="10.88671875" style="162" customWidth="1"/>
    <col min="9728" max="9728" width="4.44140625" style="162" customWidth="1"/>
    <col min="9729" max="9729" width="10.88671875" style="162" customWidth="1"/>
    <col min="9730" max="9730" width="4.44140625" style="162" customWidth="1"/>
    <col min="9731" max="9731" width="10.88671875" style="162" customWidth="1"/>
    <col min="9732" max="9732" width="4.44140625" style="162" customWidth="1"/>
    <col min="9733" max="9733" width="10.44140625" style="162" customWidth="1"/>
    <col min="9734" max="9734" width="4.44140625" style="162" customWidth="1"/>
    <col min="9735" max="9735" width="9" style="162" customWidth="1"/>
    <col min="9736" max="9736" width="4.44140625" style="162" customWidth="1"/>
    <col min="9737" max="9737" width="10.88671875" style="162" customWidth="1"/>
    <col min="9738" max="9738" width="2.88671875" style="162" customWidth="1"/>
    <col min="9739" max="9739" width="4.44140625" style="162" customWidth="1"/>
    <col min="9740" max="9740" width="7" style="162"/>
    <col min="9741" max="9741" width="7.5546875" style="162" bestFit="1" customWidth="1"/>
    <col min="9742" max="9978" width="7" style="162"/>
    <col min="9979" max="9979" width="4.44140625" style="162" customWidth="1"/>
    <col min="9980" max="9980" width="2.88671875" style="162" customWidth="1"/>
    <col min="9981" max="9981" width="33.44140625" style="162" customWidth="1"/>
    <col min="9982" max="9982" width="4.44140625" style="162" customWidth="1"/>
    <col min="9983" max="9983" width="10.88671875" style="162" customWidth="1"/>
    <col min="9984" max="9984" width="4.44140625" style="162" customWidth="1"/>
    <col min="9985" max="9985" width="10.88671875" style="162" customWidth="1"/>
    <col min="9986" max="9986" width="4.44140625" style="162" customWidth="1"/>
    <col min="9987" max="9987" width="10.88671875" style="162" customWidth="1"/>
    <col min="9988" max="9988" width="4.44140625" style="162" customWidth="1"/>
    <col min="9989" max="9989" width="10.44140625" style="162" customWidth="1"/>
    <col min="9990" max="9990" width="4.44140625" style="162" customWidth="1"/>
    <col min="9991" max="9991" width="9" style="162" customWidth="1"/>
    <col min="9992" max="9992" width="4.44140625" style="162" customWidth="1"/>
    <col min="9993" max="9993" width="10.88671875" style="162" customWidth="1"/>
    <col min="9994" max="9994" width="2.88671875" style="162" customWidth="1"/>
    <col min="9995" max="9995" width="4.44140625" style="162" customWidth="1"/>
    <col min="9996" max="9996" width="7" style="162"/>
    <col min="9997" max="9997" width="7.5546875" style="162" bestFit="1" customWidth="1"/>
    <col min="9998" max="10234" width="7" style="162"/>
    <col min="10235" max="10235" width="4.44140625" style="162" customWidth="1"/>
    <col min="10236" max="10236" width="2.88671875" style="162" customWidth="1"/>
    <col min="10237" max="10237" width="33.44140625" style="162" customWidth="1"/>
    <col min="10238" max="10238" width="4.44140625" style="162" customWidth="1"/>
    <col min="10239" max="10239" width="10.88671875" style="162" customWidth="1"/>
    <col min="10240" max="10240" width="4.44140625" style="162" customWidth="1"/>
    <col min="10241" max="10241" width="10.88671875" style="162" customWidth="1"/>
    <col min="10242" max="10242" width="4.44140625" style="162" customWidth="1"/>
    <col min="10243" max="10243" width="10.88671875" style="162" customWidth="1"/>
    <col min="10244" max="10244" width="4.44140625" style="162" customWidth="1"/>
    <col min="10245" max="10245" width="10.44140625" style="162" customWidth="1"/>
    <col min="10246" max="10246" width="4.44140625" style="162" customWidth="1"/>
    <col min="10247" max="10247" width="9" style="162" customWidth="1"/>
    <col min="10248" max="10248" width="4.44140625" style="162" customWidth="1"/>
    <col min="10249" max="10249" width="10.88671875" style="162" customWidth="1"/>
    <col min="10250" max="10250" width="2.88671875" style="162" customWidth="1"/>
    <col min="10251" max="10251" width="4.44140625" style="162" customWidth="1"/>
    <col min="10252" max="10252" width="7" style="162"/>
    <col min="10253" max="10253" width="7.5546875" style="162" bestFit="1" customWidth="1"/>
    <col min="10254" max="10490" width="7" style="162"/>
    <col min="10491" max="10491" width="4.44140625" style="162" customWidth="1"/>
    <col min="10492" max="10492" width="2.88671875" style="162" customWidth="1"/>
    <col min="10493" max="10493" width="33.44140625" style="162" customWidth="1"/>
    <col min="10494" max="10494" width="4.44140625" style="162" customWidth="1"/>
    <col min="10495" max="10495" width="10.88671875" style="162" customWidth="1"/>
    <col min="10496" max="10496" width="4.44140625" style="162" customWidth="1"/>
    <col min="10497" max="10497" width="10.88671875" style="162" customWidth="1"/>
    <col min="10498" max="10498" width="4.44140625" style="162" customWidth="1"/>
    <col min="10499" max="10499" width="10.88671875" style="162" customWidth="1"/>
    <col min="10500" max="10500" width="4.44140625" style="162" customWidth="1"/>
    <col min="10501" max="10501" width="10.44140625" style="162" customWidth="1"/>
    <col min="10502" max="10502" width="4.44140625" style="162" customWidth="1"/>
    <col min="10503" max="10503" width="9" style="162" customWidth="1"/>
    <col min="10504" max="10504" width="4.44140625" style="162" customWidth="1"/>
    <col min="10505" max="10505" width="10.88671875" style="162" customWidth="1"/>
    <col min="10506" max="10506" width="2.88671875" style="162" customWidth="1"/>
    <col min="10507" max="10507" width="4.44140625" style="162" customWidth="1"/>
    <col min="10508" max="10508" width="7" style="162"/>
    <col min="10509" max="10509" width="7.5546875" style="162" bestFit="1" customWidth="1"/>
    <col min="10510" max="10746" width="7" style="162"/>
    <col min="10747" max="10747" width="4.44140625" style="162" customWidth="1"/>
    <col min="10748" max="10748" width="2.88671875" style="162" customWidth="1"/>
    <col min="10749" max="10749" width="33.44140625" style="162" customWidth="1"/>
    <col min="10750" max="10750" width="4.44140625" style="162" customWidth="1"/>
    <col min="10751" max="10751" width="10.88671875" style="162" customWidth="1"/>
    <col min="10752" max="10752" width="4.44140625" style="162" customWidth="1"/>
    <col min="10753" max="10753" width="10.88671875" style="162" customWidth="1"/>
    <col min="10754" max="10754" width="4.44140625" style="162" customWidth="1"/>
    <col min="10755" max="10755" width="10.88671875" style="162" customWidth="1"/>
    <col min="10756" max="10756" width="4.44140625" style="162" customWidth="1"/>
    <col min="10757" max="10757" width="10.44140625" style="162" customWidth="1"/>
    <col min="10758" max="10758" width="4.44140625" style="162" customWidth="1"/>
    <col min="10759" max="10759" width="9" style="162" customWidth="1"/>
    <col min="10760" max="10760" width="4.44140625" style="162" customWidth="1"/>
    <col min="10761" max="10761" width="10.88671875" style="162" customWidth="1"/>
    <col min="10762" max="10762" width="2.88671875" style="162" customWidth="1"/>
    <col min="10763" max="10763" width="4.44140625" style="162" customWidth="1"/>
    <col min="10764" max="10764" width="7" style="162"/>
    <col min="10765" max="10765" width="7.5546875" style="162" bestFit="1" customWidth="1"/>
    <col min="10766" max="11002" width="7" style="162"/>
    <col min="11003" max="11003" width="4.44140625" style="162" customWidth="1"/>
    <col min="11004" max="11004" width="2.88671875" style="162" customWidth="1"/>
    <col min="11005" max="11005" width="33.44140625" style="162" customWidth="1"/>
    <col min="11006" max="11006" width="4.44140625" style="162" customWidth="1"/>
    <col min="11007" max="11007" width="10.88671875" style="162" customWidth="1"/>
    <col min="11008" max="11008" width="4.44140625" style="162" customWidth="1"/>
    <col min="11009" max="11009" width="10.88671875" style="162" customWidth="1"/>
    <col min="11010" max="11010" width="4.44140625" style="162" customWidth="1"/>
    <col min="11011" max="11011" width="10.88671875" style="162" customWidth="1"/>
    <col min="11012" max="11012" width="4.44140625" style="162" customWidth="1"/>
    <col min="11013" max="11013" width="10.44140625" style="162" customWidth="1"/>
    <col min="11014" max="11014" width="4.44140625" style="162" customWidth="1"/>
    <col min="11015" max="11015" width="9" style="162" customWidth="1"/>
    <col min="11016" max="11016" width="4.44140625" style="162" customWidth="1"/>
    <col min="11017" max="11017" width="10.88671875" style="162" customWidth="1"/>
    <col min="11018" max="11018" width="2.88671875" style="162" customWidth="1"/>
    <col min="11019" max="11019" width="4.44140625" style="162" customWidth="1"/>
    <col min="11020" max="11020" width="7" style="162"/>
    <col min="11021" max="11021" width="7.5546875" style="162" bestFit="1" customWidth="1"/>
    <col min="11022" max="11258" width="7" style="162"/>
    <col min="11259" max="11259" width="4.44140625" style="162" customWidth="1"/>
    <col min="11260" max="11260" width="2.88671875" style="162" customWidth="1"/>
    <col min="11261" max="11261" width="33.44140625" style="162" customWidth="1"/>
    <col min="11262" max="11262" width="4.44140625" style="162" customWidth="1"/>
    <col min="11263" max="11263" width="10.88671875" style="162" customWidth="1"/>
    <col min="11264" max="11264" width="4.44140625" style="162" customWidth="1"/>
    <col min="11265" max="11265" width="10.88671875" style="162" customWidth="1"/>
    <col min="11266" max="11266" width="4.44140625" style="162" customWidth="1"/>
    <col min="11267" max="11267" width="10.88671875" style="162" customWidth="1"/>
    <col min="11268" max="11268" width="4.44140625" style="162" customWidth="1"/>
    <col min="11269" max="11269" width="10.44140625" style="162" customWidth="1"/>
    <col min="11270" max="11270" width="4.44140625" style="162" customWidth="1"/>
    <col min="11271" max="11271" width="9" style="162" customWidth="1"/>
    <col min="11272" max="11272" width="4.44140625" style="162" customWidth="1"/>
    <col min="11273" max="11273" width="10.88671875" style="162" customWidth="1"/>
    <col min="11274" max="11274" width="2.88671875" style="162" customWidth="1"/>
    <col min="11275" max="11275" width="4.44140625" style="162" customWidth="1"/>
    <col min="11276" max="11276" width="7" style="162"/>
    <col min="11277" max="11277" width="7.5546875" style="162" bestFit="1" customWidth="1"/>
    <col min="11278" max="11514" width="7" style="162"/>
    <col min="11515" max="11515" width="4.44140625" style="162" customWidth="1"/>
    <col min="11516" max="11516" width="2.88671875" style="162" customWidth="1"/>
    <col min="11517" max="11517" width="33.44140625" style="162" customWidth="1"/>
    <col min="11518" max="11518" width="4.44140625" style="162" customWidth="1"/>
    <col min="11519" max="11519" width="10.88671875" style="162" customWidth="1"/>
    <col min="11520" max="11520" width="4.44140625" style="162" customWidth="1"/>
    <col min="11521" max="11521" width="10.88671875" style="162" customWidth="1"/>
    <col min="11522" max="11522" width="4.44140625" style="162" customWidth="1"/>
    <col min="11523" max="11523" width="10.88671875" style="162" customWidth="1"/>
    <col min="11524" max="11524" width="4.44140625" style="162" customWidth="1"/>
    <col min="11525" max="11525" width="10.44140625" style="162" customWidth="1"/>
    <col min="11526" max="11526" width="4.44140625" style="162" customWidth="1"/>
    <col min="11527" max="11527" width="9" style="162" customWidth="1"/>
    <col min="11528" max="11528" width="4.44140625" style="162" customWidth="1"/>
    <col min="11529" max="11529" width="10.88671875" style="162" customWidth="1"/>
    <col min="11530" max="11530" width="2.88671875" style="162" customWidth="1"/>
    <col min="11531" max="11531" width="4.44140625" style="162" customWidth="1"/>
    <col min="11532" max="11532" width="7" style="162"/>
    <col min="11533" max="11533" width="7.5546875" style="162" bestFit="1" customWidth="1"/>
    <col min="11534" max="11770" width="7" style="162"/>
    <col min="11771" max="11771" width="4.44140625" style="162" customWidth="1"/>
    <col min="11772" max="11772" width="2.88671875" style="162" customWidth="1"/>
    <col min="11773" max="11773" width="33.44140625" style="162" customWidth="1"/>
    <col min="11774" max="11774" width="4.44140625" style="162" customWidth="1"/>
    <col min="11775" max="11775" width="10.88671875" style="162" customWidth="1"/>
    <col min="11776" max="11776" width="4.44140625" style="162" customWidth="1"/>
    <col min="11777" max="11777" width="10.88671875" style="162" customWidth="1"/>
    <col min="11778" max="11778" width="4.44140625" style="162" customWidth="1"/>
    <col min="11779" max="11779" width="10.88671875" style="162" customWidth="1"/>
    <col min="11780" max="11780" width="4.44140625" style="162" customWidth="1"/>
    <col min="11781" max="11781" width="10.44140625" style="162" customWidth="1"/>
    <col min="11782" max="11782" width="4.44140625" style="162" customWidth="1"/>
    <col min="11783" max="11783" width="9" style="162" customWidth="1"/>
    <col min="11784" max="11784" width="4.44140625" style="162" customWidth="1"/>
    <col min="11785" max="11785" width="10.88671875" style="162" customWidth="1"/>
    <col min="11786" max="11786" width="2.88671875" style="162" customWidth="1"/>
    <col min="11787" max="11787" width="4.44140625" style="162" customWidth="1"/>
    <col min="11788" max="11788" width="7" style="162"/>
    <col min="11789" max="11789" width="7.5546875" style="162" bestFit="1" customWidth="1"/>
    <col min="11790" max="12026" width="7" style="162"/>
    <col min="12027" max="12027" width="4.44140625" style="162" customWidth="1"/>
    <col min="12028" max="12028" width="2.88671875" style="162" customWidth="1"/>
    <col min="12029" max="12029" width="33.44140625" style="162" customWidth="1"/>
    <col min="12030" max="12030" width="4.44140625" style="162" customWidth="1"/>
    <col min="12031" max="12031" width="10.88671875" style="162" customWidth="1"/>
    <col min="12032" max="12032" width="4.44140625" style="162" customWidth="1"/>
    <col min="12033" max="12033" width="10.88671875" style="162" customWidth="1"/>
    <col min="12034" max="12034" width="4.44140625" style="162" customWidth="1"/>
    <col min="12035" max="12035" width="10.88671875" style="162" customWidth="1"/>
    <col min="12036" max="12036" width="4.44140625" style="162" customWidth="1"/>
    <col min="12037" max="12037" width="10.44140625" style="162" customWidth="1"/>
    <col min="12038" max="12038" width="4.44140625" style="162" customWidth="1"/>
    <col min="12039" max="12039" width="9" style="162" customWidth="1"/>
    <col min="12040" max="12040" width="4.44140625" style="162" customWidth="1"/>
    <col min="12041" max="12041" width="10.88671875" style="162" customWidth="1"/>
    <col min="12042" max="12042" width="2.88671875" style="162" customWidth="1"/>
    <col min="12043" max="12043" width="4.44140625" style="162" customWidth="1"/>
    <col min="12044" max="12044" width="7" style="162"/>
    <col min="12045" max="12045" width="7.5546875" style="162" bestFit="1" customWidth="1"/>
    <col min="12046" max="12282" width="7" style="162"/>
    <col min="12283" max="12283" width="4.44140625" style="162" customWidth="1"/>
    <col min="12284" max="12284" width="2.88671875" style="162" customWidth="1"/>
    <col min="12285" max="12285" width="33.44140625" style="162" customWidth="1"/>
    <col min="12286" max="12286" width="4.44140625" style="162" customWidth="1"/>
    <col min="12287" max="12287" width="10.88671875" style="162" customWidth="1"/>
    <col min="12288" max="12288" width="4.44140625" style="162" customWidth="1"/>
    <col min="12289" max="12289" width="10.88671875" style="162" customWidth="1"/>
    <col min="12290" max="12290" width="4.44140625" style="162" customWidth="1"/>
    <col min="12291" max="12291" width="10.88671875" style="162" customWidth="1"/>
    <col min="12292" max="12292" width="4.44140625" style="162" customWidth="1"/>
    <col min="12293" max="12293" width="10.44140625" style="162" customWidth="1"/>
    <col min="12294" max="12294" width="4.44140625" style="162" customWidth="1"/>
    <col min="12295" max="12295" width="9" style="162" customWidth="1"/>
    <col min="12296" max="12296" width="4.44140625" style="162" customWidth="1"/>
    <col min="12297" max="12297" width="10.88671875" style="162" customWidth="1"/>
    <col min="12298" max="12298" width="2.88671875" style="162" customWidth="1"/>
    <col min="12299" max="12299" width="4.44140625" style="162" customWidth="1"/>
    <col min="12300" max="12300" width="7" style="162"/>
    <col min="12301" max="12301" width="7.5546875" style="162" bestFit="1" customWidth="1"/>
    <col min="12302" max="12538" width="7" style="162"/>
    <col min="12539" max="12539" width="4.44140625" style="162" customWidth="1"/>
    <col min="12540" max="12540" width="2.88671875" style="162" customWidth="1"/>
    <col min="12541" max="12541" width="33.44140625" style="162" customWidth="1"/>
    <col min="12542" max="12542" width="4.44140625" style="162" customWidth="1"/>
    <col min="12543" max="12543" width="10.88671875" style="162" customWidth="1"/>
    <col min="12544" max="12544" width="4.44140625" style="162" customWidth="1"/>
    <col min="12545" max="12545" width="10.88671875" style="162" customWidth="1"/>
    <col min="12546" max="12546" width="4.44140625" style="162" customWidth="1"/>
    <col min="12547" max="12547" width="10.88671875" style="162" customWidth="1"/>
    <col min="12548" max="12548" width="4.44140625" style="162" customWidth="1"/>
    <col min="12549" max="12549" width="10.44140625" style="162" customWidth="1"/>
    <col min="12550" max="12550" width="4.44140625" style="162" customWidth="1"/>
    <col min="12551" max="12551" width="9" style="162" customWidth="1"/>
    <col min="12552" max="12552" width="4.44140625" style="162" customWidth="1"/>
    <col min="12553" max="12553" width="10.88671875" style="162" customWidth="1"/>
    <col min="12554" max="12554" width="2.88671875" style="162" customWidth="1"/>
    <col min="12555" max="12555" width="4.44140625" style="162" customWidth="1"/>
    <col min="12556" max="12556" width="7" style="162"/>
    <col min="12557" max="12557" width="7.5546875" style="162" bestFit="1" customWidth="1"/>
    <col min="12558" max="12794" width="7" style="162"/>
    <col min="12795" max="12795" width="4.44140625" style="162" customWidth="1"/>
    <col min="12796" max="12796" width="2.88671875" style="162" customWidth="1"/>
    <col min="12797" max="12797" width="33.44140625" style="162" customWidth="1"/>
    <col min="12798" max="12798" width="4.44140625" style="162" customWidth="1"/>
    <col min="12799" max="12799" width="10.88671875" style="162" customWidth="1"/>
    <col min="12800" max="12800" width="4.44140625" style="162" customWidth="1"/>
    <col min="12801" max="12801" width="10.88671875" style="162" customWidth="1"/>
    <col min="12802" max="12802" width="4.44140625" style="162" customWidth="1"/>
    <col min="12803" max="12803" width="10.88671875" style="162" customWidth="1"/>
    <col min="12804" max="12804" width="4.44140625" style="162" customWidth="1"/>
    <col min="12805" max="12805" width="10.44140625" style="162" customWidth="1"/>
    <col min="12806" max="12806" width="4.44140625" style="162" customWidth="1"/>
    <col min="12807" max="12807" width="9" style="162" customWidth="1"/>
    <col min="12808" max="12808" width="4.44140625" style="162" customWidth="1"/>
    <col min="12809" max="12809" width="10.88671875" style="162" customWidth="1"/>
    <col min="12810" max="12810" width="2.88671875" style="162" customWidth="1"/>
    <col min="12811" max="12811" width="4.44140625" style="162" customWidth="1"/>
    <col min="12812" max="12812" width="7" style="162"/>
    <col min="12813" max="12813" width="7.5546875" style="162" bestFit="1" customWidth="1"/>
    <col min="12814" max="13050" width="7" style="162"/>
    <col min="13051" max="13051" width="4.44140625" style="162" customWidth="1"/>
    <col min="13052" max="13052" width="2.88671875" style="162" customWidth="1"/>
    <col min="13053" max="13053" width="33.44140625" style="162" customWidth="1"/>
    <col min="13054" max="13054" width="4.44140625" style="162" customWidth="1"/>
    <col min="13055" max="13055" width="10.88671875" style="162" customWidth="1"/>
    <col min="13056" max="13056" width="4.44140625" style="162" customWidth="1"/>
    <col min="13057" max="13057" width="10.88671875" style="162" customWidth="1"/>
    <col min="13058" max="13058" width="4.44140625" style="162" customWidth="1"/>
    <col min="13059" max="13059" width="10.88671875" style="162" customWidth="1"/>
    <col min="13060" max="13060" width="4.44140625" style="162" customWidth="1"/>
    <col min="13061" max="13061" width="10.44140625" style="162" customWidth="1"/>
    <col min="13062" max="13062" width="4.44140625" style="162" customWidth="1"/>
    <col min="13063" max="13063" width="9" style="162" customWidth="1"/>
    <col min="13064" max="13064" width="4.44140625" style="162" customWidth="1"/>
    <col min="13065" max="13065" width="10.88671875" style="162" customWidth="1"/>
    <col min="13066" max="13066" width="2.88671875" style="162" customWidth="1"/>
    <col min="13067" max="13067" width="4.44140625" style="162" customWidth="1"/>
    <col min="13068" max="13068" width="7" style="162"/>
    <col min="13069" max="13069" width="7.5546875" style="162" bestFit="1" customWidth="1"/>
    <col min="13070" max="13306" width="7" style="162"/>
    <col min="13307" max="13307" width="4.44140625" style="162" customWidth="1"/>
    <col min="13308" max="13308" width="2.88671875" style="162" customWidth="1"/>
    <col min="13309" max="13309" width="33.44140625" style="162" customWidth="1"/>
    <col min="13310" max="13310" width="4.44140625" style="162" customWidth="1"/>
    <col min="13311" max="13311" width="10.88671875" style="162" customWidth="1"/>
    <col min="13312" max="13312" width="4.44140625" style="162" customWidth="1"/>
    <col min="13313" max="13313" width="10.88671875" style="162" customWidth="1"/>
    <col min="13314" max="13314" width="4.44140625" style="162" customWidth="1"/>
    <col min="13315" max="13315" width="10.88671875" style="162" customWidth="1"/>
    <col min="13316" max="13316" width="4.44140625" style="162" customWidth="1"/>
    <col min="13317" max="13317" width="10.44140625" style="162" customWidth="1"/>
    <col min="13318" max="13318" width="4.44140625" style="162" customWidth="1"/>
    <col min="13319" max="13319" width="9" style="162" customWidth="1"/>
    <col min="13320" max="13320" width="4.44140625" style="162" customWidth="1"/>
    <col min="13321" max="13321" width="10.88671875" style="162" customWidth="1"/>
    <col min="13322" max="13322" width="2.88671875" style="162" customWidth="1"/>
    <col min="13323" max="13323" width="4.44140625" style="162" customWidth="1"/>
    <col min="13324" max="13324" width="7" style="162"/>
    <col min="13325" max="13325" width="7.5546875" style="162" bestFit="1" customWidth="1"/>
    <col min="13326" max="13562" width="7" style="162"/>
    <col min="13563" max="13563" width="4.44140625" style="162" customWidth="1"/>
    <col min="13564" max="13564" width="2.88671875" style="162" customWidth="1"/>
    <col min="13565" max="13565" width="33.44140625" style="162" customWidth="1"/>
    <col min="13566" max="13566" width="4.44140625" style="162" customWidth="1"/>
    <col min="13567" max="13567" width="10.88671875" style="162" customWidth="1"/>
    <col min="13568" max="13568" width="4.44140625" style="162" customWidth="1"/>
    <col min="13569" max="13569" width="10.88671875" style="162" customWidth="1"/>
    <col min="13570" max="13570" width="4.44140625" style="162" customWidth="1"/>
    <col min="13571" max="13571" width="10.88671875" style="162" customWidth="1"/>
    <col min="13572" max="13572" width="4.44140625" style="162" customWidth="1"/>
    <col min="13573" max="13573" width="10.44140625" style="162" customWidth="1"/>
    <col min="13574" max="13574" width="4.44140625" style="162" customWidth="1"/>
    <col min="13575" max="13575" width="9" style="162" customWidth="1"/>
    <col min="13576" max="13576" width="4.44140625" style="162" customWidth="1"/>
    <col min="13577" max="13577" width="10.88671875" style="162" customWidth="1"/>
    <col min="13578" max="13578" width="2.88671875" style="162" customWidth="1"/>
    <col min="13579" max="13579" width="4.44140625" style="162" customWidth="1"/>
    <col min="13580" max="13580" width="7" style="162"/>
    <col min="13581" max="13581" width="7.5546875" style="162" bestFit="1" customWidth="1"/>
    <col min="13582" max="13818" width="7" style="162"/>
    <col min="13819" max="13819" width="4.44140625" style="162" customWidth="1"/>
    <col min="13820" max="13820" width="2.88671875" style="162" customWidth="1"/>
    <col min="13821" max="13821" width="33.44140625" style="162" customWidth="1"/>
    <col min="13822" max="13822" width="4.44140625" style="162" customWidth="1"/>
    <col min="13823" max="13823" width="10.88671875" style="162" customWidth="1"/>
    <col min="13824" max="13824" width="4.44140625" style="162" customWidth="1"/>
    <col min="13825" max="13825" width="10.88671875" style="162" customWidth="1"/>
    <col min="13826" max="13826" width="4.44140625" style="162" customWidth="1"/>
    <col min="13827" max="13827" width="10.88671875" style="162" customWidth="1"/>
    <col min="13828" max="13828" width="4.44140625" style="162" customWidth="1"/>
    <col min="13829" max="13829" width="10.44140625" style="162" customWidth="1"/>
    <col min="13830" max="13830" width="4.44140625" style="162" customWidth="1"/>
    <col min="13831" max="13831" width="9" style="162" customWidth="1"/>
    <col min="13832" max="13832" width="4.44140625" style="162" customWidth="1"/>
    <col min="13833" max="13833" width="10.88671875" style="162" customWidth="1"/>
    <col min="13834" max="13834" width="2.88671875" style="162" customWidth="1"/>
    <col min="13835" max="13835" width="4.44140625" style="162" customWidth="1"/>
    <col min="13836" max="13836" width="7" style="162"/>
    <col min="13837" max="13837" width="7.5546875" style="162" bestFit="1" customWidth="1"/>
    <col min="13838" max="14074" width="7" style="162"/>
    <col min="14075" max="14075" width="4.44140625" style="162" customWidth="1"/>
    <col min="14076" max="14076" width="2.88671875" style="162" customWidth="1"/>
    <col min="14077" max="14077" width="33.44140625" style="162" customWidth="1"/>
    <col min="14078" max="14078" width="4.44140625" style="162" customWidth="1"/>
    <col min="14079" max="14079" width="10.88671875" style="162" customWidth="1"/>
    <col min="14080" max="14080" width="4.44140625" style="162" customWidth="1"/>
    <col min="14081" max="14081" width="10.88671875" style="162" customWidth="1"/>
    <col min="14082" max="14082" width="4.44140625" style="162" customWidth="1"/>
    <col min="14083" max="14083" width="10.88671875" style="162" customWidth="1"/>
    <col min="14084" max="14084" width="4.44140625" style="162" customWidth="1"/>
    <col min="14085" max="14085" width="10.44140625" style="162" customWidth="1"/>
    <col min="14086" max="14086" width="4.44140625" style="162" customWidth="1"/>
    <col min="14087" max="14087" width="9" style="162" customWidth="1"/>
    <col min="14088" max="14088" width="4.44140625" style="162" customWidth="1"/>
    <col min="14089" max="14089" width="10.88671875" style="162" customWidth="1"/>
    <col min="14090" max="14090" width="2.88671875" style="162" customWidth="1"/>
    <col min="14091" max="14091" width="4.44140625" style="162" customWidth="1"/>
    <col min="14092" max="14092" width="7" style="162"/>
    <col min="14093" max="14093" width="7.5546875" style="162" bestFit="1" customWidth="1"/>
    <col min="14094" max="14330" width="7" style="162"/>
    <col min="14331" max="14331" width="4.44140625" style="162" customWidth="1"/>
    <col min="14332" max="14332" width="2.88671875" style="162" customWidth="1"/>
    <col min="14333" max="14333" width="33.44140625" style="162" customWidth="1"/>
    <col min="14334" max="14334" width="4.44140625" style="162" customWidth="1"/>
    <col min="14335" max="14335" width="10.88671875" style="162" customWidth="1"/>
    <col min="14336" max="14336" width="4.44140625" style="162" customWidth="1"/>
    <col min="14337" max="14337" width="10.88671875" style="162" customWidth="1"/>
    <col min="14338" max="14338" width="4.44140625" style="162" customWidth="1"/>
    <col min="14339" max="14339" width="10.88671875" style="162" customWidth="1"/>
    <col min="14340" max="14340" width="4.44140625" style="162" customWidth="1"/>
    <col min="14341" max="14341" width="10.44140625" style="162" customWidth="1"/>
    <col min="14342" max="14342" width="4.44140625" style="162" customWidth="1"/>
    <col min="14343" max="14343" width="9" style="162" customWidth="1"/>
    <col min="14344" max="14344" width="4.44140625" style="162" customWidth="1"/>
    <col min="14345" max="14345" width="10.88671875" style="162" customWidth="1"/>
    <col min="14346" max="14346" width="2.88671875" style="162" customWidth="1"/>
    <col min="14347" max="14347" width="4.44140625" style="162" customWidth="1"/>
    <col min="14348" max="14348" width="7" style="162"/>
    <col min="14349" max="14349" width="7.5546875" style="162" bestFit="1" customWidth="1"/>
    <col min="14350" max="14586" width="7" style="162"/>
    <col min="14587" max="14587" width="4.44140625" style="162" customWidth="1"/>
    <col min="14588" max="14588" width="2.88671875" style="162" customWidth="1"/>
    <col min="14589" max="14589" width="33.44140625" style="162" customWidth="1"/>
    <col min="14590" max="14590" width="4.44140625" style="162" customWidth="1"/>
    <col min="14591" max="14591" width="10.88671875" style="162" customWidth="1"/>
    <col min="14592" max="14592" width="4.44140625" style="162" customWidth="1"/>
    <col min="14593" max="14593" width="10.88671875" style="162" customWidth="1"/>
    <col min="14594" max="14594" width="4.44140625" style="162" customWidth="1"/>
    <col min="14595" max="14595" width="10.88671875" style="162" customWidth="1"/>
    <col min="14596" max="14596" width="4.44140625" style="162" customWidth="1"/>
    <col min="14597" max="14597" width="10.44140625" style="162" customWidth="1"/>
    <col min="14598" max="14598" width="4.44140625" style="162" customWidth="1"/>
    <col min="14599" max="14599" width="9" style="162" customWidth="1"/>
    <col min="14600" max="14600" width="4.44140625" style="162" customWidth="1"/>
    <col min="14601" max="14601" width="10.88671875" style="162" customWidth="1"/>
    <col min="14602" max="14602" width="2.88671875" style="162" customWidth="1"/>
    <col min="14603" max="14603" width="4.44140625" style="162" customWidth="1"/>
    <col min="14604" max="14604" width="7" style="162"/>
    <col min="14605" max="14605" width="7.5546875" style="162" bestFit="1" customWidth="1"/>
    <col min="14606" max="14842" width="7" style="162"/>
    <col min="14843" max="14843" width="4.44140625" style="162" customWidth="1"/>
    <col min="14844" max="14844" width="2.88671875" style="162" customWidth="1"/>
    <col min="14845" max="14845" width="33.44140625" style="162" customWidth="1"/>
    <col min="14846" max="14846" width="4.44140625" style="162" customWidth="1"/>
    <col min="14847" max="14847" width="10.88671875" style="162" customWidth="1"/>
    <col min="14848" max="14848" width="4.44140625" style="162" customWidth="1"/>
    <col min="14849" max="14849" width="10.88671875" style="162" customWidth="1"/>
    <col min="14850" max="14850" width="4.44140625" style="162" customWidth="1"/>
    <col min="14851" max="14851" width="10.88671875" style="162" customWidth="1"/>
    <col min="14852" max="14852" width="4.44140625" style="162" customWidth="1"/>
    <col min="14853" max="14853" width="10.44140625" style="162" customWidth="1"/>
    <col min="14854" max="14854" width="4.44140625" style="162" customWidth="1"/>
    <col min="14855" max="14855" width="9" style="162" customWidth="1"/>
    <col min="14856" max="14856" width="4.44140625" style="162" customWidth="1"/>
    <col min="14857" max="14857" width="10.88671875" style="162" customWidth="1"/>
    <col min="14858" max="14858" width="2.88671875" style="162" customWidth="1"/>
    <col min="14859" max="14859" width="4.44140625" style="162" customWidth="1"/>
    <col min="14860" max="14860" width="7" style="162"/>
    <col min="14861" max="14861" width="7.5546875" style="162" bestFit="1" customWidth="1"/>
    <col min="14862" max="15098" width="7" style="162"/>
    <col min="15099" max="15099" width="4.44140625" style="162" customWidth="1"/>
    <col min="15100" max="15100" width="2.88671875" style="162" customWidth="1"/>
    <col min="15101" max="15101" width="33.44140625" style="162" customWidth="1"/>
    <col min="15102" max="15102" width="4.44140625" style="162" customWidth="1"/>
    <col min="15103" max="15103" width="10.88671875" style="162" customWidth="1"/>
    <col min="15104" max="15104" width="4.44140625" style="162" customWidth="1"/>
    <col min="15105" max="15105" width="10.88671875" style="162" customWidth="1"/>
    <col min="15106" max="15106" width="4.44140625" style="162" customWidth="1"/>
    <col min="15107" max="15107" width="10.88671875" style="162" customWidth="1"/>
    <col min="15108" max="15108" width="4.44140625" style="162" customWidth="1"/>
    <col min="15109" max="15109" width="10.44140625" style="162" customWidth="1"/>
    <col min="15110" max="15110" width="4.44140625" style="162" customWidth="1"/>
    <col min="15111" max="15111" width="9" style="162" customWidth="1"/>
    <col min="15112" max="15112" width="4.44140625" style="162" customWidth="1"/>
    <col min="15113" max="15113" width="10.88671875" style="162" customWidth="1"/>
    <col min="15114" max="15114" width="2.88671875" style="162" customWidth="1"/>
    <col min="15115" max="15115" width="4.44140625" style="162" customWidth="1"/>
    <col min="15116" max="15116" width="7" style="162"/>
    <col min="15117" max="15117" width="7.5546875" style="162" bestFit="1" customWidth="1"/>
    <col min="15118" max="15354" width="7" style="162"/>
    <col min="15355" max="15355" width="4.44140625" style="162" customWidth="1"/>
    <col min="15356" max="15356" width="2.88671875" style="162" customWidth="1"/>
    <col min="15357" max="15357" width="33.44140625" style="162" customWidth="1"/>
    <col min="15358" max="15358" width="4.44140625" style="162" customWidth="1"/>
    <col min="15359" max="15359" width="10.88671875" style="162" customWidth="1"/>
    <col min="15360" max="15360" width="4.44140625" style="162" customWidth="1"/>
    <col min="15361" max="15361" width="10.88671875" style="162" customWidth="1"/>
    <col min="15362" max="15362" width="4.44140625" style="162" customWidth="1"/>
    <col min="15363" max="15363" width="10.88671875" style="162" customWidth="1"/>
    <col min="15364" max="15364" width="4.44140625" style="162" customWidth="1"/>
    <col min="15365" max="15365" width="10.44140625" style="162" customWidth="1"/>
    <col min="15366" max="15366" width="4.44140625" style="162" customWidth="1"/>
    <col min="15367" max="15367" width="9" style="162" customWidth="1"/>
    <col min="15368" max="15368" width="4.44140625" style="162" customWidth="1"/>
    <col min="15369" max="15369" width="10.88671875" style="162" customWidth="1"/>
    <col min="15370" max="15370" width="2.88671875" style="162" customWidth="1"/>
    <col min="15371" max="15371" width="4.44140625" style="162" customWidth="1"/>
    <col min="15372" max="15372" width="7" style="162"/>
    <col min="15373" max="15373" width="7.5546875" style="162" bestFit="1" customWidth="1"/>
    <col min="15374" max="15610" width="7" style="162"/>
    <col min="15611" max="15611" width="4.44140625" style="162" customWidth="1"/>
    <col min="15612" max="15612" width="2.88671875" style="162" customWidth="1"/>
    <col min="15613" max="15613" width="33.44140625" style="162" customWidth="1"/>
    <col min="15614" max="15614" width="4.44140625" style="162" customWidth="1"/>
    <col min="15615" max="15615" width="10.88671875" style="162" customWidth="1"/>
    <col min="15616" max="15616" width="4.44140625" style="162" customWidth="1"/>
    <col min="15617" max="15617" width="10.88671875" style="162" customWidth="1"/>
    <col min="15618" max="15618" width="4.44140625" style="162" customWidth="1"/>
    <col min="15619" max="15619" width="10.88671875" style="162" customWidth="1"/>
    <col min="15620" max="15620" width="4.44140625" style="162" customWidth="1"/>
    <col min="15621" max="15621" width="10.44140625" style="162" customWidth="1"/>
    <col min="15622" max="15622" width="4.44140625" style="162" customWidth="1"/>
    <col min="15623" max="15623" width="9" style="162" customWidth="1"/>
    <col min="15624" max="15624" width="4.44140625" style="162" customWidth="1"/>
    <col min="15625" max="15625" width="10.88671875" style="162" customWidth="1"/>
    <col min="15626" max="15626" width="2.88671875" style="162" customWidth="1"/>
    <col min="15627" max="15627" width="4.44140625" style="162" customWidth="1"/>
    <col min="15628" max="15628" width="7" style="162"/>
    <col min="15629" max="15629" width="7.5546875" style="162" bestFit="1" customWidth="1"/>
    <col min="15630" max="15866" width="7" style="162"/>
    <col min="15867" max="15867" width="4.44140625" style="162" customWidth="1"/>
    <col min="15868" max="15868" width="2.88671875" style="162" customWidth="1"/>
    <col min="15869" max="15869" width="33.44140625" style="162" customWidth="1"/>
    <col min="15870" max="15870" width="4.44140625" style="162" customWidth="1"/>
    <col min="15871" max="15871" width="10.88671875" style="162" customWidth="1"/>
    <col min="15872" max="15872" width="4.44140625" style="162" customWidth="1"/>
    <col min="15873" max="15873" width="10.88671875" style="162" customWidth="1"/>
    <col min="15874" max="15874" width="4.44140625" style="162" customWidth="1"/>
    <col min="15875" max="15875" width="10.88671875" style="162" customWidth="1"/>
    <col min="15876" max="15876" width="4.44140625" style="162" customWidth="1"/>
    <col min="15877" max="15877" width="10.44140625" style="162" customWidth="1"/>
    <col min="15878" max="15878" width="4.44140625" style="162" customWidth="1"/>
    <col min="15879" max="15879" width="9" style="162" customWidth="1"/>
    <col min="15880" max="15880" width="4.44140625" style="162" customWidth="1"/>
    <col min="15881" max="15881" width="10.88671875" style="162" customWidth="1"/>
    <col min="15882" max="15882" width="2.88671875" style="162" customWidth="1"/>
    <col min="15883" max="15883" width="4.44140625" style="162" customWidth="1"/>
    <col min="15884" max="15884" width="7" style="162"/>
    <col min="15885" max="15885" width="7.5546875" style="162" bestFit="1" customWidth="1"/>
    <col min="15886" max="16122" width="7" style="162"/>
    <col min="16123" max="16123" width="4.44140625" style="162" customWidth="1"/>
    <col min="16124" max="16124" width="2.88671875" style="162" customWidth="1"/>
    <col min="16125" max="16125" width="33.44140625" style="162" customWidth="1"/>
    <col min="16126" max="16126" width="4.44140625" style="162" customWidth="1"/>
    <col min="16127" max="16127" width="10.88671875" style="162" customWidth="1"/>
    <col min="16128" max="16128" width="4.44140625" style="162" customWidth="1"/>
    <col min="16129" max="16129" width="10.88671875" style="162" customWidth="1"/>
    <col min="16130" max="16130" width="4.44140625" style="162" customWidth="1"/>
    <col min="16131" max="16131" width="10.88671875" style="162" customWidth="1"/>
    <col min="16132" max="16132" width="4.44140625" style="162" customWidth="1"/>
    <col min="16133" max="16133" width="10.44140625" style="162" customWidth="1"/>
    <col min="16134" max="16134" width="4.44140625" style="162" customWidth="1"/>
    <col min="16135" max="16135" width="9" style="162" customWidth="1"/>
    <col min="16136" max="16136" width="4.44140625" style="162" customWidth="1"/>
    <col min="16137" max="16137" width="10.88671875" style="162" customWidth="1"/>
    <col min="16138" max="16138" width="2.88671875" style="162" customWidth="1"/>
    <col min="16139" max="16139" width="4.44140625" style="162" customWidth="1"/>
    <col min="16140" max="16140" width="7" style="162"/>
    <col min="16141" max="16141" width="7.5546875" style="162" bestFit="1" customWidth="1"/>
    <col min="16142" max="16384" width="7" style="162"/>
  </cols>
  <sheetData>
    <row r="1" spans="1:11">
      <c r="A1" s="615"/>
      <c r="C1" s="156"/>
      <c r="D1" s="156"/>
      <c r="K1" s="644" t="s">
        <v>1017</v>
      </c>
    </row>
    <row r="2" spans="1:11">
      <c r="B2" s="645"/>
      <c r="C2" s="646"/>
      <c r="D2" s="646"/>
      <c r="E2" s="646"/>
      <c r="F2" s="646"/>
      <c r="G2" s="646"/>
      <c r="H2" s="646"/>
      <c r="I2" s="646"/>
      <c r="J2" s="646"/>
      <c r="K2" s="644" t="s">
        <v>1033</v>
      </c>
    </row>
    <row r="3" spans="1:11">
      <c r="A3" s="1186" t="s">
        <v>4</v>
      </c>
      <c r="B3" s="1186"/>
      <c r="C3" s="1186"/>
      <c r="D3" s="1186"/>
      <c r="E3" s="1186"/>
      <c r="F3" s="1186"/>
      <c r="G3" s="1186"/>
      <c r="H3" s="1186"/>
      <c r="I3" s="1186"/>
      <c r="J3" s="1186"/>
      <c r="K3" s="1186"/>
    </row>
    <row r="4" spans="1:11">
      <c r="A4" s="1186" t="s">
        <v>1018</v>
      </c>
      <c r="B4" s="1186"/>
      <c r="C4" s="1186"/>
      <c r="D4" s="1186"/>
      <c r="E4" s="1186"/>
      <c r="F4" s="1186"/>
      <c r="G4" s="1186"/>
      <c r="H4" s="1186"/>
      <c r="I4" s="1186"/>
      <c r="J4" s="1186"/>
      <c r="K4" s="1186"/>
    </row>
    <row r="5" spans="1:11">
      <c r="A5" s="1166" t="str">
        <f>'A1'!A5:J5</f>
        <v>Test Year Ended June 30, 2024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</row>
    <row r="6" spans="1:11">
      <c r="A6" s="1183" t="s">
        <v>799</v>
      </c>
      <c r="B6" s="1183"/>
      <c r="C6" s="1183"/>
      <c r="D6" s="1183"/>
      <c r="E6" s="1183"/>
      <c r="F6" s="1183"/>
      <c r="G6" s="1183"/>
      <c r="H6" s="1183"/>
      <c r="I6" s="1183"/>
      <c r="J6" s="1183"/>
      <c r="K6" s="1183"/>
    </row>
    <row r="7" spans="1:11">
      <c r="C7" s="647"/>
      <c r="D7" s="647"/>
      <c r="E7" s="646"/>
      <c r="F7" s="646"/>
    </row>
    <row r="8" spans="1:11">
      <c r="C8" s="647"/>
      <c r="D8" s="647"/>
      <c r="E8" s="1185" t="s">
        <v>970</v>
      </c>
      <c r="F8" s="1185"/>
      <c r="G8" s="1185"/>
      <c r="H8" s="1185"/>
      <c r="I8" s="1185"/>
      <c r="J8" s="622"/>
    </row>
    <row r="9" spans="1:11" ht="30.6">
      <c r="A9" s="643" t="s">
        <v>800</v>
      </c>
      <c r="B9" s="649"/>
      <c r="C9" s="1133" t="s">
        <v>0</v>
      </c>
      <c r="D9" s="1132"/>
      <c r="E9" s="650" t="s">
        <v>1019</v>
      </c>
      <c r="F9" s="649"/>
      <c r="G9" s="643" t="s">
        <v>1020</v>
      </c>
      <c r="H9" s="1132"/>
      <c r="I9" s="643" t="s">
        <v>1000</v>
      </c>
      <c r="J9" s="649"/>
      <c r="K9" s="643" t="s">
        <v>1001</v>
      </c>
    </row>
    <row r="10" spans="1:11">
      <c r="B10" s="622"/>
      <c r="E10" s="648"/>
      <c r="F10" s="648"/>
      <c r="G10" s="622"/>
      <c r="H10" s="622"/>
      <c r="I10" s="648"/>
      <c r="J10" s="648"/>
      <c r="K10" s="622"/>
    </row>
    <row r="11" spans="1:11">
      <c r="A11" s="160">
        <v>1</v>
      </c>
      <c r="B11" s="622"/>
      <c r="C11" s="156" t="s">
        <v>973</v>
      </c>
      <c r="D11" s="156"/>
      <c r="E11" s="501">
        <f>'Rate Base (RCN)'!F56/1000</f>
        <v>1359391.7576768622</v>
      </c>
      <c r="F11" s="501"/>
      <c r="G11" s="490">
        <f>'B3 P2'!N10</f>
        <v>-15830.419374548706</v>
      </c>
      <c r="H11" s="490"/>
      <c r="I11" s="490">
        <f>SUM(E11:G11)</f>
        <v>1343561.3383023136</v>
      </c>
      <c r="J11" s="490"/>
      <c r="K11" s="160">
        <f>+A11</f>
        <v>1</v>
      </c>
    </row>
    <row r="12" spans="1:11">
      <c r="A12" s="160"/>
      <c r="B12" s="622"/>
      <c r="C12" s="156" t="s">
        <v>181</v>
      </c>
      <c r="D12" s="156"/>
      <c r="E12" s="505"/>
      <c r="F12" s="505"/>
      <c r="G12" s="490"/>
      <c r="H12" s="490"/>
      <c r="I12" s="505"/>
      <c r="J12" s="505"/>
      <c r="K12" s="160"/>
    </row>
    <row r="13" spans="1:11">
      <c r="A13" s="160">
        <f>+A11+1</f>
        <v>2</v>
      </c>
      <c r="B13" s="622"/>
      <c r="C13" s="156" t="s">
        <v>974</v>
      </c>
      <c r="D13" s="156"/>
      <c r="E13" s="505">
        <f>'Rate Base (RCN)'!F109/1000</f>
        <v>622158.19212131226</v>
      </c>
      <c r="F13" s="505"/>
      <c r="G13" s="505">
        <f>'B3 P2'!N12</f>
        <v>-42792.728736520767</v>
      </c>
      <c r="H13" s="505"/>
      <c r="I13" s="505">
        <f>SUM(E13:G13)</f>
        <v>579365.46338479151</v>
      </c>
      <c r="J13" s="505"/>
      <c r="K13" s="160">
        <f>+A13</f>
        <v>2</v>
      </c>
    </row>
    <row r="14" spans="1:11">
      <c r="A14" s="160"/>
      <c r="B14" s="622"/>
      <c r="C14" s="156"/>
      <c r="D14" s="156"/>
      <c r="E14" s="621"/>
      <c r="F14" s="621"/>
      <c r="G14" s="621"/>
      <c r="H14" s="621"/>
      <c r="I14" s="621"/>
      <c r="J14" s="505"/>
      <c r="K14" s="160"/>
    </row>
    <row r="15" spans="1:11">
      <c r="A15" s="160">
        <f>+A13+1</f>
        <v>3</v>
      </c>
      <c r="B15" s="622"/>
      <c r="C15" s="156" t="s">
        <v>975</v>
      </c>
      <c r="D15" s="156"/>
      <c r="E15" s="162">
        <f>'B4 P1-P2'!G64</f>
        <v>737233.56555554993</v>
      </c>
      <c r="G15" s="505">
        <f>G11-G13</f>
        <v>26962.30936197206</v>
      </c>
      <c r="H15" s="505"/>
      <c r="I15" s="505">
        <f>I11-I13</f>
        <v>764195.87491752207</v>
      </c>
      <c r="J15" s="505"/>
      <c r="K15" s="160">
        <f>+A15</f>
        <v>3</v>
      </c>
    </row>
    <row r="16" spans="1:11">
      <c r="A16" s="160"/>
      <c r="B16" s="622"/>
      <c r="C16" s="156"/>
      <c r="D16" s="156"/>
      <c r="G16" s="505" t="s">
        <v>181</v>
      </c>
      <c r="H16" s="505"/>
      <c r="I16" s="505"/>
      <c r="J16" s="505"/>
      <c r="K16" s="160"/>
    </row>
    <row r="17" spans="1:11">
      <c r="A17" s="160">
        <f>+A15+1</f>
        <v>4</v>
      </c>
      <c r="B17" s="622"/>
      <c r="C17" s="156" t="s">
        <v>976</v>
      </c>
      <c r="D17" s="156"/>
      <c r="E17" s="505">
        <v>0</v>
      </c>
      <c r="F17" s="505"/>
      <c r="G17" s="505">
        <f>'B3 P2'!N16</f>
        <v>0</v>
      </c>
      <c r="H17" s="505"/>
      <c r="I17" s="505">
        <f>SUM(E17:G17)</f>
        <v>0</v>
      </c>
      <c r="J17" s="505"/>
      <c r="K17" s="160">
        <f>+A17</f>
        <v>4</v>
      </c>
    </row>
    <row r="18" spans="1:11">
      <c r="A18" s="160"/>
      <c r="B18" s="622"/>
      <c r="C18" s="156"/>
      <c r="D18" s="156"/>
      <c r="E18" s="621"/>
      <c r="F18" s="621"/>
      <c r="G18" s="621"/>
      <c r="H18" s="621"/>
      <c r="I18" s="621"/>
      <c r="J18" s="505"/>
      <c r="K18" s="160"/>
    </row>
    <row r="19" spans="1:11">
      <c r="A19" s="160">
        <f>A17+1</f>
        <v>5</v>
      </c>
      <c r="C19" s="156" t="s">
        <v>977</v>
      </c>
      <c r="D19" s="156"/>
      <c r="E19" s="505">
        <f>E15+E17</f>
        <v>737233.56555554993</v>
      </c>
      <c r="F19" s="505"/>
      <c r="G19" s="505">
        <f>G15+G17</f>
        <v>26962.30936197206</v>
      </c>
      <c r="H19" s="505"/>
      <c r="I19" s="505">
        <f>I15+I17</f>
        <v>764195.87491752207</v>
      </c>
      <c r="J19" s="505"/>
      <c r="K19" s="160">
        <f>+A19</f>
        <v>5</v>
      </c>
    </row>
    <row r="20" spans="1:11">
      <c r="A20" s="160"/>
      <c r="C20" s="156" t="s">
        <v>181</v>
      </c>
      <c r="D20" s="156"/>
      <c r="E20" s="505"/>
      <c r="F20" s="505"/>
      <c r="G20" s="505"/>
      <c r="H20" s="505"/>
      <c r="I20" s="505"/>
      <c r="J20" s="505"/>
      <c r="K20" s="160"/>
    </row>
    <row r="21" spans="1:11">
      <c r="A21" s="160">
        <f>+A19+1</f>
        <v>6</v>
      </c>
      <c r="C21" s="156" t="s">
        <v>978</v>
      </c>
      <c r="D21" s="156"/>
      <c r="E21" s="505">
        <f>'Rate Base (RCN)'!F125/1000</f>
        <v>-6412.6110028692692</v>
      </c>
      <c r="F21" s="505"/>
      <c r="G21" s="505">
        <f>'B3 P2'!N20</f>
        <v>0</v>
      </c>
      <c r="H21" s="505"/>
      <c r="I21" s="505">
        <f>SUM(E21:G21)</f>
        <v>-6412.6110028692692</v>
      </c>
      <c r="J21" s="505"/>
      <c r="K21" s="160">
        <f>+A21</f>
        <v>6</v>
      </c>
    </row>
    <row r="22" spans="1:11">
      <c r="A22" s="160"/>
      <c r="C22" s="156"/>
      <c r="D22" s="156"/>
      <c r="E22" s="505"/>
      <c r="F22" s="505"/>
      <c r="G22" s="505"/>
      <c r="H22" s="505"/>
      <c r="I22" s="505"/>
      <c r="J22" s="505"/>
      <c r="K22" s="160"/>
    </row>
    <row r="23" spans="1:11">
      <c r="A23" s="160">
        <f>+A21+1</f>
        <v>7</v>
      </c>
      <c r="C23" s="156" t="s">
        <v>979</v>
      </c>
      <c r="D23" s="156"/>
      <c r="E23" s="505">
        <f>'Rate Base (RCN)'!F126/1000</f>
        <v>-1598.8227400000001</v>
      </c>
      <c r="F23" s="505"/>
      <c r="G23" s="505">
        <f>'B3 P2'!N22</f>
        <v>0</v>
      </c>
      <c r="H23" s="505"/>
      <c r="I23" s="505">
        <f>SUM(E23:G23)</f>
        <v>-1598.8227400000001</v>
      </c>
      <c r="J23" s="505"/>
      <c r="K23" s="160">
        <f>+A23</f>
        <v>7</v>
      </c>
    </row>
    <row r="24" spans="1:11">
      <c r="A24" s="160"/>
      <c r="C24" s="156"/>
      <c r="D24" s="156"/>
      <c r="E24" s="505"/>
      <c r="F24" s="505"/>
      <c r="G24" s="505"/>
      <c r="H24" s="505"/>
      <c r="I24" s="505"/>
      <c r="J24" s="505"/>
      <c r="K24" s="160"/>
    </row>
    <row r="25" spans="1:11">
      <c r="A25" s="160">
        <f>A23+1</f>
        <v>8</v>
      </c>
      <c r="C25" s="516" t="s">
        <v>980</v>
      </c>
      <c r="D25" s="156"/>
      <c r="E25" s="505">
        <v>0</v>
      </c>
      <c r="F25" s="505"/>
      <c r="G25" s="505">
        <f>'B3 P2'!N24</f>
        <v>0</v>
      </c>
      <c r="H25" s="505"/>
      <c r="I25" s="505">
        <f>SUM(E25:G25)</f>
        <v>0</v>
      </c>
      <c r="J25" s="505"/>
      <c r="K25" s="160">
        <f>+A25</f>
        <v>8</v>
      </c>
    </row>
    <row r="26" spans="1:11">
      <c r="A26" s="160"/>
      <c r="C26" s="156"/>
      <c r="D26" s="156"/>
      <c r="E26" s="505"/>
      <c r="F26" s="505"/>
      <c r="G26" s="505"/>
      <c r="H26" s="505"/>
      <c r="I26" s="505"/>
      <c r="J26" s="505"/>
      <c r="K26" s="160"/>
    </row>
    <row r="27" spans="1:11">
      <c r="A27" s="160">
        <f>A25+1</f>
        <v>9</v>
      </c>
      <c r="C27" s="156" t="s">
        <v>981</v>
      </c>
      <c r="D27" s="156"/>
      <c r="E27" s="621">
        <f>'Rate Base (RCN)'!F141/1000</f>
        <v>-92739.512980453743</v>
      </c>
      <c r="F27" s="621"/>
      <c r="G27" s="621">
        <f>'B3 P2'!N26</f>
        <v>-746.87322108383103</v>
      </c>
      <c r="H27" s="621"/>
      <c r="I27" s="621">
        <f>'Rate Base (RCN)'!H141/1000</f>
        <v>-93486.386201537578</v>
      </c>
      <c r="J27" s="505"/>
      <c r="K27" s="160">
        <f>+A27</f>
        <v>9</v>
      </c>
    </row>
    <row r="28" spans="1:11">
      <c r="A28" s="160">
        <f>A27+1</f>
        <v>10</v>
      </c>
      <c r="C28" s="156" t="s">
        <v>982</v>
      </c>
      <c r="D28" s="156"/>
      <c r="E28" s="505">
        <f>SUM(E21:E27)</f>
        <v>-100750.94672332301</v>
      </c>
      <c r="F28" s="505"/>
      <c r="G28" s="505">
        <f>SUM(G21:G27)</f>
        <v>-746.87322108383103</v>
      </c>
      <c r="H28" s="505"/>
      <c r="I28" s="505">
        <f>SUM(I21:I27)</f>
        <v>-101497.81994440685</v>
      </c>
      <c r="J28" s="505"/>
      <c r="K28" s="160">
        <f>+A28</f>
        <v>10</v>
      </c>
    </row>
    <row r="29" spans="1:11">
      <c r="A29" s="160"/>
      <c r="C29" s="156" t="s">
        <v>181</v>
      </c>
      <c r="D29" s="156"/>
      <c r="E29" s="505"/>
      <c r="F29" s="505"/>
      <c r="G29" s="505"/>
      <c r="H29" s="505"/>
      <c r="I29" s="505"/>
      <c r="J29" s="505"/>
      <c r="K29" s="160"/>
    </row>
    <row r="30" spans="1:11">
      <c r="A30" s="622">
        <f>+A28+1</f>
        <v>11</v>
      </c>
      <c r="C30" s="156" t="s">
        <v>983</v>
      </c>
      <c r="D30" s="156"/>
      <c r="E30" s="505">
        <f>'Rate Base (RCN)'!F122/1000</f>
        <v>2946.0039100000004</v>
      </c>
      <c r="F30" s="505"/>
      <c r="G30" s="505">
        <f>'B3 P2'!N29</f>
        <v>-5172.7590382017524</v>
      </c>
      <c r="H30" s="505"/>
      <c r="I30" s="505">
        <f>SUM(E30:G30)</f>
        <v>-2226.7551282017521</v>
      </c>
      <c r="J30" s="505"/>
      <c r="K30" s="160">
        <f>+A30</f>
        <v>11</v>
      </c>
    </row>
    <row r="31" spans="1:11">
      <c r="A31" s="622"/>
      <c r="C31" s="156"/>
      <c r="D31" s="156"/>
      <c r="E31" s="505"/>
      <c r="F31" s="505"/>
      <c r="G31" s="505"/>
      <c r="H31" s="505"/>
      <c r="I31" s="505"/>
      <c r="J31" s="505"/>
      <c r="K31" s="622"/>
    </row>
    <row r="32" spans="1:11">
      <c r="A32" s="622">
        <f>+A30+1</f>
        <v>12</v>
      </c>
      <c r="C32" s="156" t="s">
        <v>1775</v>
      </c>
      <c r="D32" s="156"/>
      <c r="E32" s="505">
        <f>'Rate Base (RCN)'!F132/1000</f>
        <v>0</v>
      </c>
      <c r="F32" s="505"/>
      <c r="G32" s="505">
        <f>'B3 P2'!N31</f>
        <v>0</v>
      </c>
      <c r="H32" s="505"/>
      <c r="I32" s="505">
        <f>SUM(E32:G32)</f>
        <v>0</v>
      </c>
      <c r="J32" s="505"/>
      <c r="K32" s="160">
        <f>+A32</f>
        <v>12</v>
      </c>
    </row>
    <row r="33" spans="1:11">
      <c r="A33" s="622"/>
      <c r="C33" s="156"/>
      <c r="D33" s="156"/>
      <c r="E33" s="505"/>
      <c r="F33" s="505"/>
      <c r="G33" s="505"/>
      <c r="H33" s="505"/>
      <c r="I33" s="505"/>
      <c r="J33" s="505"/>
      <c r="K33" s="622"/>
    </row>
    <row r="34" spans="1:11">
      <c r="A34" s="622">
        <f>+A32+1</f>
        <v>13</v>
      </c>
      <c r="C34" s="156" t="s">
        <v>984</v>
      </c>
      <c r="D34" s="156"/>
      <c r="E34" s="505">
        <f>'Rate Base (RCN)'!F133/1000</f>
        <v>1094.51856</v>
      </c>
      <c r="F34" s="505"/>
      <c r="G34" s="505">
        <f>'B3 P2'!N33</f>
        <v>0</v>
      </c>
      <c r="H34" s="505"/>
      <c r="I34" s="505">
        <f>SUM(E34:G34)</f>
        <v>1094.51856</v>
      </c>
      <c r="J34" s="505"/>
      <c r="K34" s="160">
        <f>+A34</f>
        <v>13</v>
      </c>
    </row>
    <row r="35" spans="1:11">
      <c r="A35" s="622"/>
      <c r="C35" s="156"/>
      <c r="D35" s="156"/>
      <c r="E35" s="505" t="s">
        <v>655</v>
      </c>
      <c r="F35" s="505"/>
      <c r="G35" s="505"/>
      <c r="H35" s="505"/>
      <c r="I35" s="505"/>
      <c r="J35" s="505"/>
      <c r="K35" s="622"/>
    </row>
    <row r="36" spans="1:11">
      <c r="A36" s="622">
        <f>+A34+1</f>
        <v>14</v>
      </c>
      <c r="C36" s="156" t="s">
        <v>985</v>
      </c>
      <c r="D36" s="156"/>
      <c r="E36" s="621">
        <f>'Rate Base (RCN)'!F134/1000</f>
        <v>-24912.739369999999</v>
      </c>
      <c r="F36" s="621"/>
      <c r="G36" s="621">
        <f>'B3 P2'!N35</f>
        <v>-11.195</v>
      </c>
      <c r="H36" s="621"/>
      <c r="I36" s="621">
        <f>SUM(E36:G36)</f>
        <v>-24923.934369999999</v>
      </c>
      <c r="J36" s="505"/>
      <c r="K36" s="160">
        <f>+A36</f>
        <v>14</v>
      </c>
    </row>
    <row r="37" spans="1:11">
      <c r="A37" s="622"/>
      <c r="C37" s="156"/>
      <c r="D37" s="156"/>
      <c r="I37" s="505"/>
      <c r="J37" s="505"/>
      <c r="K37" s="622"/>
    </row>
    <row r="38" spans="1:11" ht="10.8" thickBot="1">
      <c r="A38" s="622">
        <f>+A36+1</f>
        <v>15</v>
      </c>
      <c r="C38" s="156" t="s">
        <v>1021</v>
      </c>
      <c r="D38" s="156"/>
      <c r="E38" s="498">
        <f>+E19+E28+E30+E32+E34+E36</f>
        <v>615610.40193222696</v>
      </c>
      <c r="F38" s="498"/>
      <c r="G38" s="498">
        <f>+G19+G28+G30+G32+G34+G36</f>
        <v>21031.482102686477</v>
      </c>
      <c r="H38" s="498"/>
      <c r="I38" s="498">
        <f>+I19+I28+I30+I32+I34+I36</f>
        <v>636641.88403491338</v>
      </c>
      <c r="J38" s="490"/>
      <c r="K38" s="160">
        <f>+A38</f>
        <v>15</v>
      </c>
    </row>
    <row r="39" spans="1:11" ht="10.8" thickTop="1">
      <c r="A39" s="622"/>
      <c r="B39" s="622"/>
      <c r="E39" s="633"/>
      <c r="F39" s="633"/>
      <c r="G39" s="633"/>
      <c r="H39" s="633"/>
      <c r="I39" s="633"/>
      <c r="J39" s="633"/>
      <c r="K39" s="622"/>
    </row>
    <row r="40" spans="1:11">
      <c r="C40" s="651" t="s">
        <v>826</v>
      </c>
      <c r="D40" s="651"/>
      <c r="E40" s="1112"/>
      <c r="F40" s="1112"/>
      <c r="I40" s="652" t="s">
        <v>990</v>
      </c>
      <c r="J40" s="622"/>
    </row>
    <row r="41" spans="1:11">
      <c r="C41" s="648" t="s">
        <v>1022</v>
      </c>
      <c r="D41" s="648"/>
      <c r="I41" s="622" t="s">
        <v>1006</v>
      </c>
      <c r="J41" s="622"/>
    </row>
    <row r="42" spans="1:11">
      <c r="C42" s="622" t="s">
        <v>1023</v>
      </c>
      <c r="D42" s="622"/>
    </row>
    <row r="43" spans="1:11">
      <c r="C43" s="622" t="s">
        <v>1024</v>
      </c>
      <c r="D43" s="622"/>
    </row>
    <row r="44" spans="1:11">
      <c r="C44" s="622"/>
      <c r="D44" s="622"/>
    </row>
    <row r="47" spans="1:11">
      <c r="C47" s="646"/>
      <c r="D47" s="646"/>
    </row>
    <row r="48" spans="1:11">
      <c r="C48" s="646"/>
      <c r="D48" s="646"/>
    </row>
    <row r="49" spans="1:10">
      <c r="C49" s="646"/>
      <c r="D49" s="646"/>
    </row>
    <row r="50" spans="1:10">
      <c r="C50" s="622"/>
      <c r="D50" s="622"/>
    </row>
    <row r="51" spans="1:10">
      <c r="A51" s="513" t="s">
        <v>1025</v>
      </c>
      <c r="C51" s="622"/>
      <c r="D51" s="622"/>
    </row>
    <row r="52" spans="1:10">
      <c r="C52" s="622"/>
      <c r="D52" s="622"/>
    </row>
    <row r="53" spans="1:10">
      <c r="A53" s="513" t="s">
        <v>835</v>
      </c>
      <c r="B53" s="156"/>
      <c r="C53" s="156"/>
      <c r="D53" s="156"/>
      <c r="E53" s="635"/>
      <c r="F53" s="635"/>
      <c r="G53" s="635"/>
      <c r="H53" s="635"/>
    </row>
    <row r="54" spans="1:10">
      <c r="A54" s="487" t="s">
        <v>1009</v>
      </c>
      <c r="B54" s="487"/>
      <c r="C54" s="156"/>
      <c r="D54" s="156"/>
      <c r="E54" s="156"/>
      <c r="F54" s="156"/>
      <c r="G54" s="156"/>
      <c r="H54" s="156"/>
    </row>
    <row r="56" spans="1:10">
      <c r="C56" s="624" t="s">
        <v>1026</v>
      </c>
      <c r="D56" s="624"/>
      <c r="E56" s="490">
        <f>'Rate Base (RCN)'!F143/1000</f>
        <v>615610.40193222719</v>
      </c>
      <c r="F56" s="490"/>
      <c r="G56" s="490">
        <f>'Rate Base (RCN)'!G143/1000</f>
        <v>21031.482102686474</v>
      </c>
      <c r="H56" s="490"/>
      <c r="I56" s="490">
        <f>'Rate Base (RCN)'!H143/1000</f>
        <v>636641.88403491373</v>
      </c>
      <c r="J56" s="490"/>
    </row>
    <row r="57" spans="1:10">
      <c r="C57" s="505" t="s">
        <v>3</v>
      </c>
      <c r="D57" s="505"/>
      <c r="E57" s="490">
        <f>+E38-E56</f>
        <v>0</v>
      </c>
      <c r="F57" s="490"/>
      <c r="G57" s="490">
        <f>+G38-G56</f>
        <v>0</v>
      </c>
      <c r="H57" s="490"/>
      <c r="I57" s="490">
        <f>+I38-I56</f>
        <v>0</v>
      </c>
      <c r="J57" s="490"/>
    </row>
    <row r="59" spans="1:10">
      <c r="C59" s="653" t="s">
        <v>1027</v>
      </c>
      <c r="D59" s="653"/>
      <c r="E59" s="490"/>
      <c r="F59" s="490"/>
      <c r="G59" s="490"/>
      <c r="H59" s="490"/>
      <c r="I59" s="490"/>
      <c r="J59" s="490"/>
    </row>
    <row r="60" spans="1:10">
      <c r="C60" s="505" t="s">
        <v>1028</v>
      </c>
      <c r="D60" s="505"/>
      <c r="E60" s="490">
        <f>'B4 P1-P2'!G64</f>
        <v>737233.56555554993</v>
      </c>
      <c r="F60" s="490"/>
      <c r="G60" s="490"/>
      <c r="H60" s="490"/>
      <c r="I60" s="490"/>
      <c r="J60" s="490"/>
    </row>
    <row r="61" spans="1:10">
      <c r="C61" s="505" t="s">
        <v>3</v>
      </c>
      <c r="D61" s="505"/>
      <c r="E61" s="490">
        <f>+E15-E60</f>
        <v>0</v>
      </c>
      <c r="F61" s="490"/>
      <c r="G61" s="490"/>
      <c r="H61" s="490"/>
      <c r="I61" s="490"/>
      <c r="J61" s="490"/>
    </row>
  </sheetData>
  <mergeCells count="5">
    <mergeCell ref="A3:K3"/>
    <mergeCell ref="A4:K4"/>
    <mergeCell ref="A5:K5"/>
    <mergeCell ref="A6:K6"/>
    <mergeCell ref="E8:I8"/>
  </mergeCells>
  <printOptions horizontalCentered="1"/>
  <pageMargins left="0.7" right="0.7" top="0.75" bottom="0.75" header="0.3" footer="0.3"/>
  <pageSetup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AA2E-9890-4111-AF58-B6D0E1B0F199}">
  <sheetPr>
    <tabColor rgb="FFFFFFCC"/>
  </sheetPr>
  <dimension ref="A1:N65"/>
  <sheetViews>
    <sheetView showGridLines="0" zoomScaleNormal="100" zoomScaleSheetLayoutView="100" workbookViewId="0"/>
  </sheetViews>
  <sheetFormatPr defaultColWidth="6.88671875" defaultRowHeight="13.2"/>
  <cols>
    <col min="1" max="1" width="3.88671875" customWidth="1"/>
    <col min="2" max="2" width="1.6640625" customWidth="1"/>
    <col min="3" max="3" width="37" bestFit="1" customWidth="1"/>
    <col min="4" max="4" width="10.5546875" style="516" bestFit="1" customWidth="1"/>
    <col min="5" max="14" width="10.5546875" style="516" customWidth="1"/>
  </cols>
  <sheetData>
    <row r="1" spans="1:14" ht="11.25" customHeight="1">
      <c r="A1" s="562"/>
      <c r="B1" s="528"/>
      <c r="C1" s="528"/>
      <c r="J1" s="517"/>
      <c r="K1" s="517"/>
      <c r="L1" s="517"/>
      <c r="M1" s="517"/>
      <c r="N1" s="517" t="s">
        <v>1017</v>
      </c>
    </row>
    <row r="2" spans="1:14" ht="11.25" customHeight="1">
      <c r="A2" s="529"/>
      <c r="B2" s="528"/>
      <c r="C2" s="528"/>
      <c r="J2" s="549"/>
      <c r="K2" s="549"/>
      <c r="L2" s="549"/>
      <c r="M2" s="549"/>
      <c r="N2" s="549" t="s">
        <v>1046</v>
      </c>
    </row>
    <row r="3" spans="1:14" ht="11.25" customHeight="1">
      <c r="A3" s="1173" t="s">
        <v>1428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  <c r="L3" s="1173"/>
      <c r="M3" s="1173"/>
      <c r="N3" s="1173"/>
    </row>
    <row r="4" spans="1:14" ht="11.25" customHeight="1">
      <c r="A4" s="1173" t="s">
        <v>1018</v>
      </c>
      <c r="B4" s="1173"/>
      <c r="C4" s="1173"/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</row>
    <row r="5" spans="1:14" ht="11.25" customHeight="1">
      <c r="A5" s="1166" t="s">
        <v>1427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  <c r="N5" s="1166"/>
    </row>
    <row r="6" spans="1:14" ht="11.25" customHeight="1">
      <c r="A6" s="1173" t="s">
        <v>799</v>
      </c>
      <c r="B6" s="1173"/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3"/>
      <c r="N6" s="1173"/>
    </row>
    <row r="7" spans="1:14" ht="11.25" customHeight="1">
      <c r="A7" s="528"/>
      <c r="B7" s="528"/>
      <c r="C7" s="528"/>
      <c r="D7" s="519"/>
      <c r="E7" s="519"/>
      <c r="F7" s="519"/>
      <c r="G7" s="519"/>
      <c r="H7" s="519"/>
      <c r="I7" s="519"/>
      <c r="J7" s="519"/>
      <c r="K7" s="519"/>
      <c r="L7" s="519"/>
      <c r="M7" s="519"/>
    </row>
    <row r="8" spans="1:14" ht="41.4">
      <c r="A8" s="654" t="s">
        <v>800</v>
      </c>
      <c r="B8" s="655"/>
      <c r="C8" s="1130" t="s">
        <v>0</v>
      </c>
      <c r="D8" s="643" t="str">
        <f>'Rate Base (RCN)'!I7</f>
        <v>Accumulated Deferred Income Taxes</v>
      </c>
      <c r="E8" s="643" t="str">
        <f>'Rate Base (RCN)'!J7</f>
        <v>Build-Out Adjustment</v>
      </c>
      <c r="F8" s="643" t="str">
        <f>'Rate Base (RCN)'!K7</f>
        <v xml:space="preserve">Citizens Acquisition Discount </v>
      </c>
      <c r="G8" s="643" t="str">
        <f>'Rate Base (RCN)'!L7</f>
        <v>Delayed Unitization</v>
      </c>
      <c r="H8" s="643" t="str">
        <f>'Rate Base (RCN)'!M7</f>
        <v xml:space="preserve">Fortis Rate Base Adjustment </v>
      </c>
      <c r="I8" s="643" t="str">
        <f>'Rate Base (RCN)'!N7</f>
        <v>Golden Valley Pipeline</v>
      </c>
      <c r="J8" s="643" t="str">
        <f>'Rate Base (RCN)'!O7</f>
        <v>Griffith Plant</v>
      </c>
      <c r="K8" s="643" t="str">
        <f>'Rate Base (RCN)'!P7</f>
        <v>Post-Test Year Plant</v>
      </c>
      <c r="L8" s="643" t="str">
        <f>'Rate Base (RCN)'!Q7</f>
        <v>Southern Union Acquisition Premium</v>
      </c>
      <c r="M8" s="643" t="str">
        <f>'Rate Base (RCN)'!R7</f>
        <v>Working Capital</v>
      </c>
      <c r="N8" s="643" t="s">
        <v>7</v>
      </c>
    </row>
    <row r="9" spans="1:14" ht="11.25" customHeight="1">
      <c r="A9" s="561"/>
      <c r="B9" s="528"/>
      <c r="C9" s="528"/>
      <c r="D9" s="519"/>
      <c r="E9" s="519"/>
      <c r="F9" s="519"/>
      <c r="G9" s="519"/>
      <c r="H9" s="519"/>
      <c r="I9" s="519"/>
      <c r="J9" s="519"/>
      <c r="K9" s="519"/>
      <c r="L9" s="519"/>
      <c r="M9" s="519"/>
      <c r="N9" s="519"/>
    </row>
    <row r="10" spans="1:14" ht="11.25" customHeight="1">
      <c r="A10" s="519">
        <v>1</v>
      </c>
      <c r="B10" s="528"/>
      <c r="C10" s="528" t="s">
        <v>973</v>
      </c>
      <c r="D10" s="490">
        <f>SUM('Rate Base (RCN)'!I11:I12)/1000+SUM('Rate Base (RCN)'!I16:I20)/1000+SUM('Rate Base (RCN)'!I24:I35)/1000+SUM('Rate Base (RCN)'!I39:I48)/1000</f>
        <v>0</v>
      </c>
      <c r="E10" s="490">
        <f>SUM('Rate Base (RCN)'!J11:J12)/1000+SUM('Rate Base (RCN)'!J16:J20)/1000+SUM('Rate Base (RCN)'!J24:J35)/1000+SUM('Rate Base (RCN)'!J39:J48)/1000</f>
        <v>-12841.09</v>
      </c>
      <c r="F10" s="490">
        <f>SUM('Rate Base (RCN)'!K11:K12)/1000+SUM('Rate Base (RCN)'!K16:K20)/1000+SUM('Rate Base (RCN)'!K24:K35)/1000+SUM('Rate Base (RCN)'!K39:K48)/1000</f>
        <v>0</v>
      </c>
      <c r="G10" s="490">
        <f>SUM('Rate Base (RCN)'!L11:L12)/1000+SUM('Rate Base (RCN)'!L16:L20)/1000+SUM('Rate Base (RCN)'!L24:L35)/1000+SUM('Rate Base (RCN)'!L39:L48)/1000</f>
        <v>512.93100000000004</v>
      </c>
      <c r="H10" s="490">
        <f>SUM('Rate Base (RCN)'!M11:M12)/1000+SUM('Rate Base (RCN)'!M16:M20)/1000+SUM('Rate Base (RCN)'!M24:M35)/1000+SUM('Rate Base (RCN)'!M39:M48)/1000</f>
        <v>-43.555</v>
      </c>
      <c r="I10" s="490">
        <f>SUM('Rate Base (RCN)'!N11:N12)/1000+SUM('Rate Base (RCN)'!N16:N20)/1000+SUM('Rate Base (RCN)'!N24:N35)/1000+SUM('Rate Base (RCN)'!N39:N48)/1000</f>
        <v>-4406.1091145487007</v>
      </c>
      <c r="J10" s="490">
        <f>SUM('Rate Base (RCN)'!O11:O12)/1000+SUM('Rate Base (RCN)'!O16:O20)/1000+SUM('Rate Base (RCN)'!O24:O35)/1000+SUM('Rate Base (RCN)'!O39:O48)/1000</f>
        <v>-6070.8920699999999</v>
      </c>
      <c r="K10" s="490">
        <f>SUM('Rate Base (RCN)'!P11:P12)/1000+SUM('Rate Base (RCN)'!P16:P20)/1000+SUM('Rate Base (RCN)'!P24:P35)/1000+SUM('Rate Base (RCN)'!P39:P48)/1000</f>
        <v>25116.248</v>
      </c>
      <c r="L10" s="490">
        <f>SUM('Rate Base (RCN)'!Q11:Q12)/1000+SUM('Rate Base (RCN)'!Q16:Q20)/1000+SUM('Rate Base (RCN)'!Q24:Q35)/1000+SUM('Rate Base (RCN)'!Q39:Q48)/1000</f>
        <v>-18097.952190000004</v>
      </c>
      <c r="M10" s="490">
        <f>SUM('Rate Base (RCN)'!R11:R12)/1000+SUM('Rate Base (RCN)'!R16:R20)/1000+SUM('Rate Base (RCN)'!R24:R35)/1000+SUM('Rate Base (RCN)'!R39:R48)/1000</f>
        <v>0</v>
      </c>
      <c r="N10" s="562">
        <f>SUM(D10:M10)</f>
        <v>-15830.419374548706</v>
      </c>
    </row>
    <row r="11" spans="1:14" ht="11.25" customHeight="1">
      <c r="A11" s="519"/>
      <c r="B11" s="528"/>
      <c r="C11" s="528"/>
      <c r="D11" s="505"/>
      <c r="E11" s="505"/>
      <c r="F11" s="505"/>
      <c r="G11" s="505"/>
      <c r="H11" s="505"/>
      <c r="I11" s="505"/>
      <c r="J11" s="505"/>
      <c r="K11" s="505"/>
      <c r="L11" s="505"/>
      <c r="M11" s="505"/>
      <c r="N11" s="562"/>
    </row>
    <row r="12" spans="1:14" ht="11.25" customHeight="1">
      <c r="A12" s="519">
        <f>+A10+1</f>
        <v>2</v>
      </c>
      <c r="B12" s="528"/>
      <c r="C12" s="516" t="s">
        <v>974</v>
      </c>
      <c r="D12" s="505">
        <f>SUM('Rate Base (RCN)'!I60:I62)/1000+SUM('Rate Base (RCN)'!I66:I71)/1000+SUM('Rate Base (RCN)'!I75:I87)/1000+SUM('Rate Base (RCN)'!I91:I101)/1000</f>
        <v>0</v>
      </c>
      <c r="E12" s="505">
        <f>SUM('Rate Base (RCN)'!J60:J62)/1000+SUM('Rate Base (RCN)'!J66:J71)/1000+SUM('Rate Base (RCN)'!J75:J87)/1000+SUM('Rate Base (RCN)'!J91:J101)/1000</f>
        <v>-10850.08</v>
      </c>
      <c r="F12" s="505">
        <f>SUM('Rate Base (RCN)'!K60:K62)/1000+SUM('Rate Base (RCN)'!K66:K71)/1000+SUM('Rate Base (RCN)'!K75:K87)/1000+SUM('Rate Base (RCN)'!K91:K101)/1000</f>
        <v>-21282.106455112655</v>
      </c>
      <c r="G12" s="505">
        <f>SUM('Rate Base (RCN)'!L60:L62)/1000+SUM('Rate Base (RCN)'!L66:L71)/1000+SUM('Rate Base (RCN)'!L75:L87)/1000+SUM('Rate Base (RCN)'!L91:L101)/1000</f>
        <v>1.5489999999999999</v>
      </c>
      <c r="H12" s="505">
        <f>SUM('Rate Base (RCN)'!M60:M62)/1000+SUM('Rate Base (RCN)'!M66:M71)/1000+SUM('Rate Base (RCN)'!M75:M87)/1000+SUM('Rate Base (RCN)'!M91:M101)/1000</f>
        <v>-14.31</v>
      </c>
      <c r="I12" s="505">
        <f>SUM('Rate Base (RCN)'!N60:N62)/1000+SUM('Rate Base (RCN)'!N66:N71)/1000+SUM('Rate Base (RCN)'!N75:N87)/1000+SUM('Rate Base (RCN)'!N91:N101)/1000</f>
        <v>-1479.1599314081102</v>
      </c>
      <c r="J12" s="505">
        <f>SUM('Rate Base (RCN)'!O60:O62)/1000+SUM('Rate Base (RCN)'!O66:O71)/1000+SUM('Rate Base (RCN)'!O75:O87)/1000+SUM('Rate Base (RCN)'!O91:O101)/1000</f>
        <v>-2530.8718399999998</v>
      </c>
      <c r="K12" s="505">
        <f>SUM('Rate Base (RCN)'!P60:P62)/1000+SUM('Rate Base (RCN)'!P66:P71)/1000+SUM('Rate Base (RCN)'!P75:P87)/1000+SUM('Rate Base (RCN)'!P91:P101)/1000</f>
        <v>1159.248</v>
      </c>
      <c r="L12" s="505">
        <f>SUM('Rate Base (RCN)'!Q60:Q62)/1000+SUM('Rate Base (RCN)'!Q66:Q71)/1000+SUM('Rate Base (RCN)'!Q75:Q87)/1000+SUM('Rate Base (RCN)'!Q91:Q101)/1000</f>
        <v>-7796.9975099999983</v>
      </c>
      <c r="M12" s="505">
        <f>SUM('Rate Base (RCN)'!R60:R62)/1000+SUM('Rate Base (RCN)'!R66:R71)/1000+SUM('Rate Base (RCN)'!R75:R87)/1000+SUM('Rate Base (RCN)'!R91:R101)/1000</f>
        <v>0</v>
      </c>
      <c r="N12" s="505">
        <f>SUM(D12:M12)</f>
        <v>-42792.728736520767</v>
      </c>
    </row>
    <row r="13" spans="1:14" ht="11.25" customHeight="1">
      <c r="A13" s="519"/>
      <c r="B13" s="528"/>
      <c r="C13" s="516"/>
      <c r="D13" s="621"/>
      <c r="E13" s="621"/>
      <c r="F13" s="621"/>
      <c r="G13" s="621"/>
      <c r="H13" s="621"/>
      <c r="I13" s="621"/>
      <c r="J13" s="621"/>
      <c r="K13" s="621"/>
      <c r="L13" s="621"/>
      <c r="M13" s="621"/>
      <c r="N13" s="563"/>
    </row>
    <row r="14" spans="1:14" ht="11.25" customHeight="1">
      <c r="A14" s="519">
        <f>+A12+1</f>
        <v>3</v>
      </c>
      <c r="B14" s="528"/>
      <c r="C14" s="528" t="s">
        <v>975</v>
      </c>
      <c r="D14" s="505">
        <f t="shared" ref="D14:N14" si="0">D10-D12</f>
        <v>0</v>
      </c>
      <c r="E14" s="505">
        <f t="shared" ref="E14:K14" si="1">E10-E12</f>
        <v>-1991.0100000000002</v>
      </c>
      <c r="F14" s="505">
        <f t="shared" si="1"/>
        <v>21282.106455112655</v>
      </c>
      <c r="G14" s="505">
        <f t="shared" si="1"/>
        <v>511.38200000000006</v>
      </c>
      <c r="H14" s="505">
        <f t="shared" ref="H14" si="2">H10-H12</f>
        <v>-29.244999999999997</v>
      </c>
      <c r="I14" s="505">
        <f t="shared" si="1"/>
        <v>-2926.9491831405903</v>
      </c>
      <c r="J14" s="505">
        <f t="shared" si="1"/>
        <v>-3540.0202300000001</v>
      </c>
      <c r="K14" s="505">
        <f t="shared" si="1"/>
        <v>23957</v>
      </c>
      <c r="L14" s="505">
        <f t="shared" ref="L14:M14" si="3">L10-L12</f>
        <v>-10300.954680000006</v>
      </c>
      <c r="M14" s="505">
        <f t="shared" si="3"/>
        <v>0</v>
      </c>
      <c r="N14" s="531">
        <f t="shared" si="0"/>
        <v>26962.30936197206</v>
      </c>
    </row>
    <row r="15" spans="1:14" ht="11.25" customHeight="1">
      <c r="A15" s="519"/>
      <c r="B15" s="528"/>
      <c r="C15" s="528"/>
      <c r="D15" s="505"/>
      <c r="E15" s="505"/>
      <c r="F15" s="505"/>
      <c r="G15" s="505"/>
      <c r="H15" s="505"/>
      <c r="I15" s="505"/>
      <c r="J15" s="505"/>
      <c r="K15" s="505"/>
      <c r="L15" s="505"/>
      <c r="M15" s="505"/>
      <c r="N15" s="531"/>
    </row>
    <row r="16" spans="1:14" ht="11.25" customHeight="1">
      <c r="A16" s="519">
        <f>+A14+1</f>
        <v>4</v>
      </c>
      <c r="B16" s="528"/>
      <c r="C16" s="516" t="s">
        <v>976</v>
      </c>
      <c r="D16" s="505">
        <v>0</v>
      </c>
      <c r="E16" s="505">
        <v>0</v>
      </c>
      <c r="F16" s="505">
        <v>0</v>
      </c>
      <c r="G16" s="505">
        <v>0</v>
      </c>
      <c r="H16" s="505">
        <v>0</v>
      </c>
      <c r="I16" s="505">
        <v>0</v>
      </c>
      <c r="J16" s="505">
        <v>0</v>
      </c>
      <c r="K16" s="505">
        <v>0</v>
      </c>
      <c r="L16" s="505">
        <v>0</v>
      </c>
      <c r="M16" s="505">
        <v>0</v>
      </c>
      <c r="N16" s="531">
        <f>SUM(D16:M16)</f>
        <v>0</v>
      </c>
    </row>
    <row r="17" spans="1:14" ht="11.25" customHeight="1">
      <c r="A17" s="519"/>
      <c r="B17" s="528"/>
      <c r="C17" s="516"/>
      <c r="D17" s="621"/>
      <c r="E17" s="621"/>
      <c r="F17" s="621"/>
      <c r="G17" s="621"/>
      <c r="H17" s="621"/>
      <c r="I17" s="621"/>
      <c r="J17" s="621"/>
      <c r="K17" s="621"/>
      <c r="L17" s="621"/>
      <c r="M17" s="621"/>
      <c r="N17" s="563"/>
    </row>
    <row r="18" spans="1:14" ht="11.25" customHeight="1">
      <c r="A18" s="519">
        <f>+A16+1</f>
        <v>5</v>
      </c>
      <c r="B18" s="528"/>
      <c r="C18" s="516" t="s">
        <v>977</v>
      </c>
      <c r="D18" s="505">
        <f t="shared" ref="D18" si="4">(+D14)</f>
        <v>0</v>
      </c>
      <c r="E18" s="505">
        <f t="shared" ref="E18:K18" si="5">(+E14)</f>
        <v>-1991.0100000000002</v>
      </c>
      <c r="F18" s="505">
        <f t="shared" si="5"/>
        <v>21282.106455112655</v>
      </c>
      <c r="G18" s="505">
        <f t="shared" si="5"/>
        <v>511.38200000000006</v>
      </c>
      <c r="H18" s="505">
        <f t="shared" ref="H18" si="6">(+H14)</f>
        <v>-29.244999999999997</v>
      </c>
      <c r="I18" s="505">
        <f t="shared" si="5"/>
        <v>-2926.9491831405903</v>
      </c>
      <c r="J18" s="505">
        <f t="shared" si="5"/>
        <v>-3540.0202300000001</v>
      </c>
      <c r="K18" s="505">
        <f t="shared" si="5"/>
        <v>23957</v>
      </c>
      <c r="L18" s="505">
        <f t="shared" ref="L18:M18" si="7">(+L14)</f>
        <v>-10300.954680000006</v>
      </c>
      <c r="M18" s="505">
        <f t="shared" si="7"/>
        <v>0</v>
      </c>
      <c r="N18" s="531">
        <f>SUM(N14:N16)</f>
        <v>26962.30936197206</v>
      </c>
    </row>
    <row r="19" spans="1:14" ht="11.25" customHeight="1">
      <c r="A19" s="519"/>
      <c r="B19" s="528"/>
      <c r="C19" s="528"/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31"/>
    </row>
    <row r="20" spans="1:14" ht="11.25" customHeight="1">
      <c r="A20" s="519">
        <f>+A18+1</f>
        <v>6</v>
      </c>
      <c r="B20" s="528"/>
      <c r="C20" s="516" t="s">
        <v>978</v>
      </c>
      <c r="D20" s="505">
        <f>'Rate Base (RCN)'!I125/1000</f>
        <v>0</v>
      </c>
      <c r="E20" s="505">
        <f>'Rate Base (RCN)'!J125/1000</f>
        <v>0</v>
      </c>
      <c r="F20" s="505">
        <f>'Rate Base (RCN)'!K125/1000</f>
        <v>0</v>
      </c>
      <c r="G20" s="505">
        <f>'Rate Base (RCN)'!L125/1000</f>
        <v>0</v>
      </c>
      <c r="H20" s="505">
        <f>'Rate Base (RCN)'!M125/1000</f>
        <v>0</v>
      </c>
      <c r="I20" s="505">
        <f>'Rate Base (RCN)'!N125/1000</f>
        <v>0</v>
      </c>
      <c r="J20" s="505">
        <f>'Rate Base (RCN)'!O125/1000</f>
        <v>0</v>
      </c>
      <c r="K20" s="505">
        <f>'Rate Base (RCN)'!P125/1000</f>
        <v>0</v>
      </c>
      <c r="L20" s="505">
        <f>'Rate Base (RCN)'!Q125/1000</f>
        <v>0</v>
      </c>
      <c r="M20" s="505">
        <f>'Rate Base (RCN)'!R125/1000</f>
        <v>0</v>
      </c>
      <c r="N20" s="531">
        <f>SUM(D20:M20)</f>
        <v>0</v>
      </c>
    </row>
    <row r="21" spans="1:14" ht="11.25" customHeight="1">
      <c r="A21" s="519"/>
      <c r="B21" s="528"/>
      <c r="C21" s="516"/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31"/>
    </row>
    <row r="22" spans="1:14" ht="11.25" customHeight="1">
      <c r="A22" s="519">
        <f>+A20+1</f>
        <v>7</v>
      </c>
      <c r="B22" s="528"/>
      <c r="C22" s="528" t="s">
        <v>979</v>
      </c>
      <c r="D22" s="505">
        <f>'Rate Base (RCN)'!I126/1000</f>
        <v>0</v>
      </c>
      <c r="E22" s="505">
        <f>'Rate Base (RCN)'!J126/1000</f>
        <v>0</v>
      </c>
      <c r="F22" s="505">
        <f>'Rate Base (RCN)'!K126/1000</f>
        <v>0</v>
      </c>
      <c r="G22" s="505">
        <f>'Rate Base (RCN)'!L126/1000</f>
        <v>0</v>
      </c>
      <c r="H22" s="505">
        <f>'Rate Base (RCN)'!M126/1000</f>
        <v>0</v>
      </c>
      <c r="I22" s="505">
        <f>'Rate Base (RCN)'!N126/1000</f>
        <v>0</v>
      </c>
      <c r="J22" s="505">
        <f>'Rate Base (RCN)'!O126/1000</f>
        <v>0</v>
      </c>
      <c r="K22" s="505">
        <f>'Rate Base (RCN)'!P126/1000</f>
        <v>0</v>
      </c>
      <c r="L22" s="505">
        <f>'Rate Base (RCN)'!Q126/1000</f>
        <v>0</v>
      </c>
      <c r="M22" s="505">
        <f>'Rate Base (RCN)'!R126/1000</f>
        <v>0</v>
      </c>
      <c r="N22" s="531">
        <f>SUM(D22:M22)</f>
        <v>0</v>
      </c>
    </row>
    <row r="23" spans="1:14" ht="11.25" customHeight="1">
      <c r="A23" s="519"/>
      <c r="B23" s="528"/>
      <c r="C23" s="528"/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31"/>
    </row>
    <row r="24" spans="1:14" ht="11.25" customHeight="1">
      <c r="A24" s="519">
        <f>+A22+1</f>
        <v>8</v>
      </c>
      <c r="B24" s="516"/>
      <c r="C24" s="516" t="s">
        <v>980</v>
      </c>
      <c r="D24" s="505">
        <v>0</v>
      </c>
      <c r="E24" s="505">
        <v>0</v>
      </c>
      <c r="F24" s="505">
        <v>0</v>
      </c>
      <c r="G24" s="505">
        <v>0</v>
      </c>
      <c r="H24" s="505">
        <v>0</v>
      </c>
      <c r="I24" s="505">
        <v>0</v>
      </c>
      <c r="J24" s="505">
        <v>0</v>
      </c>
      <c r="K24" s="505">
        <v>0</v>
      </c>
      <c r="L24" s="505">
        <v>0</v>
      </c>
      <c r="M24" s="505">
        <v>0</v>
      </c>
      <c r="N24" s="531">
        <f>SUM(D24:M24)</f>
        <v>0</v>
      </c>
    </row>
    <row r="25" spans="1:14" ht="11.25" customHeight="1">
      <c r="A25" s="519"/>
      <c r="B25" s="528"/>
      <c r="C25" s="528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531"/>
    </row>
    <row r="26" spans="1:14" ht="11.25" customHeight="1">
      <c r="A26" s="519">
        <f>+A24+1</f>
        <v>9</v>
      </c>
      <c r="B26" s="528"/>
      <c r="C26" s="516" t="s">
        <v>1029</v>
      </c>
      <c r="D26" s="621">
        <f>SUM('Rate Base (RCN)'!I138:I140)/1000</f>
        <v>-746.87322108383103</v>
      </c>
      <c r="E26" s="621">
        <f>SUM('Rate Base (RCN)'!J138:J140)/1000</f>
        <v>0</v>
      </c>
      <c r="F26" s="621">
        <f>SUM('Rate Base (RCN)'!K138:K140)/1000</f>
        <v>0</v>
      </c>
      <c r="G26" s="621">
        <f>SUM('Rate Base (RCN)'!L138:L140)/1000</f>
        <v>0</v>
      </c>
      <c r="H26" s="621">
        <f>SUM('Rate Base (RCN)'!M138:M140)/1000</f>
        <v>0</v>
      </c>
      <c r="I26" s="621">
        <f>SUM('Rate Base (RCN)'!N138:N140)/1000</f>
        <v>0</v>
      </c>
      <c r="J26" s="621">
        <f>SUM('Rate Base (RCN)'!O138:O140)/1000</f>
        <v>0</v>
      </c>
      <c r="K26" s="621">
        <f>SUM('Rate Base (RCN)'!P138:P140)/1000</f>
        <v>0</v>
      </c>
      <c r="L26" s="621">
        <f>SUM('Rate Base (RCN)'!Q138:Q140)/1000</f>
        <v>0</v>
      </c>
      <c r="M26" s="621">
        <f>SUM('Rate Base (RCN)'!R138:R140)/1000</f>
        <v>0</v>
      </c>
      <c r="N26" s="621">
        <f>SUM(D26:M26)</f>
        <v>-746.87322108383103</v>
      </c>
    </row>
    <row r="27" spans="1:14" ht="11.25" customHeight="1">
      <c r="A27" s="519">
        <f>+A26+1</f>
        <v>10</v>
      </c>
      <c r="B27" s="528"/>
      <c r="C27" s="528" t="s">
        <v>982</v>
      </c>
      <c r="D27" s="505">
        <f t="shared" ref="D27:N27" si="8">SUM(D20:D26)</f>
        <v>-746.87322108383103</v>
      </c>
      <c r="E27" s="505">
        <f t="shared" ref="E27:K27" si="9">SUM(E20:E26)</f>
        <v>0</v>
      </c>
      <c r="F27" s="505">
        <f t="shared" si="9"/>
        <v>0</v>
      </c>
      <c r="G27" s="505">
        <f t="shared" si="9"/>
        <v>0</v>
      </c>
      <c r="H27" s="505">
        <f t="shared" ref="H27" si="10">SUM(H20:H26)</f>
        <v>0</v>
      </c>
      <c r="I27" s="505">
        <f t="shared" si="9"/>
        <v>0</v>
      </c>
      <c r="J27" s="505">
        <f t="shared" si="9"/>
        <v>0</v>
      </c>
      <c r="K27" s="505">
        <f t="shared" si="9"/>
        <v>0</v>
      </c>
      <c r="L27" s="505">
        <f t="shared" ref="L27:M27" si="11">SUM(L20:L26)</f>
        <v>0</v>
      </c>
      <c r="M27" s="505">
        <f t="shared" si="11"/>
        <v>0</v>
      </c>
      <c r="N27" s="505">
        <f t="shared" si="8"/>
        <v>-746.87322108383103</v>
      </c>
    </row>
    <row r="28" spans="1:14" ht="11.25" customHeight="1">
      <c r="A28" s="519"/>
      <c r="B28" s="528"/>
      <c r="C28" s="516" t="s">
        <v>181</v>
      </c>
      <c r="D28" s="622"/>
      <c r="E28" s="622"/>
      <c r="F28" s="622"/>
      <c r="G28" s="622"/>
      <c r="H28" s="622"/>
      <c r="I28" s="622"/>
      <c r="J28" s="622"/>
      <c r="K28" s="622"/>
      <c r="L28" s="622"/>
      <c r="M28" s="622"/>
      <c r="N28" s="561"/>
    </row>
    <row r="29" spans="1:14" ht="11.25" customHeight="1">
      <c r="A29" s="561">
        <f>+A27+1</f>
        <v>11</v>
      </c>
      <c r="B29" s="528"/>
      <c r="C29" s="516" t="s">
        <v>983</v>
      </c>
      <c r="D29" s="505">
        <f>SUM('Rate Base (RCN)'!I119:I121)/1000</f>
        <v>0</v>
      </c>
      <c r="E29" s="505">
        <f>SUM('Rate Base (RCN)'!J119:J121)/1000</f>
        <v>0</v>
      </c>
      <c r="F29" s="505">
        <f>SUM('Rate Base (RCN)'!K119:K121)/1000</f>
        <v>0</v>
      </c>
      <c r="G29" s="505">
        <f>SUM('Rate Base (RCN)'!L119:L121)/1000</f>
        <v>0</v>
      </c>
      <c r="H29" s="505">
        <f>SUM('Rate Base (RCN)'!M119:M121)/1000</f>
        <v>0</v>
      </c>
      <c r="I29" s="505">
        <f>SUM('Rate Base (RCN)'!N119:N121)/1000</f>
        <v>0</v>
      </c>
      <c r="J29" s="505">
        <f>SUM('Rate Base (RCN)'!O119:O121)/1000</f>
        <v>0</v>
      </c>
      <c r="K29" s="505">
        <f>SUM('Rate Base (RCN)'!P119:P121)/1000</f>
        <v>0</v>
      </c>
      <c r="L29" s="505">
        <f>SUM('Rate Base (RCN)'!Q119:Q121)/1000</f>
        <v>0</v>
      </c>
      <c r="M29" s="505">
        <f>SUM('Rate Base (RCN)'!R119:R121)/1000</f>
        <v>-5172.7590382017524</v>
      </c>
      <c r="N29" s="531">
        <f>SUM(D29:M29)</f>
        <v>-5172.7590382017524</v>
      </c>
    </row>
    <row r="30" spans="1:14" ht="11.25" customHeight="1">
      <c r="A30" s="561"/>
      <c r="B30" s="528"/>
      <c r="C30" s="516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31"/>
    </row>
    <row r="31" spans="1:14" ht="11.25" customHeight="1">
      <c r="A31" s="561">
        <f>+A29+1</f>
        <v>12</v>
      </c>
      <c r="B31" s="528"/>
      <c r="C31" s="156" t="s">
        <v>1775</v>
      </c>
      <c r="D31" s="505">
        <f>'Rate Base (RCN)'!I132/1000</f>
        <v>0</v>
      </c>
      <c r="E31" s="505">
        <f>'Rate Base (RCN)'!J130/1000</f>
        <v>0</v>
      </c>
      <c r="F31" s="505">
        <f>'Rate Base (RCN)'!K130/1000</f>
        <v>0</v>
      </c>
      <c r="G31" s="505">
        <f>'Rate Base (RCN)'!L130/1000</f>
        <v>0</v>
      </c>
      <c r="H31" s="505">
        <f>'Rate Base (RCN)'!M130/1000</f>
        <v>0</v>
      </c>
      <c r="I31" s="505">
        <f>'Rate Base (RCN)'!N130/1000</f>
        <v>0</v>
      </c>
      <c r="J31" s="505">
        <f>'Rate Base (RCN)'!O130/1000</f>
        <v>0</v>
      </c>
      <c r="K31" s="505">
        <f>'Rate Base (RCN)'!P130/1000</f>
        <v>0</v>
      </c>
      <c r="L31" s="505">
        <f>'Rate Base (RCN)'!Q130/1000</f>
        <v>0</v>
      </c>
      <c r="M31" s="505">
        <f>'Rate Base (RCN)'!R130/1000</f>
        <v>0</v>
      </c>
      <c r="N31" s="531">
        <f>SUM(D31:M31)</f>
        <v>0</v>
      </c>
    </row>
    <row r="32" spans="1:14" ht="11.25" customHeight="1">
      <c r="A32" s="561"/>
      <c r="B32" s="528"/>
      <c r="C32" s="516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31"/>
    </row>
    <row r="33" spans="1:14" ht="11.25" customHeight="1">
      <c r="A33" s="561">
        <f>+A31+1</f>
        <v>13</v>
      </c>
      <c r="B33" s="528"/>
      <c r="C33" s="516" t="s">
        <v>984</v>
      </c>
      <c r="D33" s="505">
        <f>'Rate Base (RCN)'!I133/1000</f>
        <v>0</v>
      </c>
      <c r="E33" s="505">
        <f>'Rate Base (RCN)'!J133/1000</f>
        <v>0</v>
      </c>
      <c r="F33" s="505">
        <f>'Rate Base (RCN)'!K133/1000</f>
        <v>0</v>
      </c>
      <c r="G33" s="505">
        <f>'Rate Base (RCN)'!L133/1000</f>
        <v>0</v>
      </c>
      <c r="H33" s="505">
        <f>'Rate Base (RCN)'!M133/1000</f>
        <v>0</v>
      </c>
      <c r="I33" s="505">
        <f>'Rate Base (RCN)'!N133/1000</f>
        <v>0</v>
      </c>
      <c r="J33" s="505">
        <f>'Rate Base (RCN)'!O133/1000</f>
        <v>0</v>
      </c>
      <c r="K33" s="505">
        <f>'Rate Base (RCN)'!P133/1000</f>
        <v>0</v>
      </c>
      <c r="L33" s="505">
        <f>'Rate Base (RCN)'!Q133/1000</f>
        <v>0</v>
      </c>
      <c r="M33" s="505">
        <f>'Rate Base (RCN)'!R133/1000</f>
        <v>0</v>
      </c>
      <c r="N33" s="531">
        <f>SUM(D33:M33)</f>
        <v>0</v>
      </c>
    </row>
    <row r="34" spans="1:14" ht="11.25" customHeight="1">
      <c r="A34" s="561"/>
      <c r="B34" s="528"/>
      <c r="C34" s="516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31"/>
    </row>
    <row r="35" spans="1:14" ht="11.25" customHeight="1">
      <c r="A35" s="561">
        <f>+A33+1</f>
        <v>14</v>
      </c>
      <c r="B35" s="528"/>
      <c r="C35" s="516" t="s">
        <v>985</v>
      </c>
      <c r="D35" s="621">
        <f>'Rate Base (RCN)'!I134/1000</f>
        <v>-11.195</v>
      </c>
      <c r="E35" s="621">
        <f>'Rate Base (RCN)'!J134/1000</f>
        <v>0</v>
      </c>
      <c r="F35" s="621">
        <f>'Rate Base (RCN)'!K134/1000</f>
        <v>0</v>
      </c>
      <c r="G35" s="621">
        <f>'Rate Base (RCN)'!L134/1000</f>
        <v>0</v>
      </c>
      <c r="H35" s="621">
        <f>'Rate Base (RCN)'!M134/1000</f>
        <v>0</v>
      </c>
      <c r="I35" s="621">
        <f>'Rate Base (RCN)'!N134/1000</f>
        <v>0</v>
      </c>
      <c r="J35" s="621">
        <f>'Rate Base (RCN)'!O134/1000</f>
        <v>0</v>
      </c>
      <c r="K35" s="621">
        <f>'Rate Base (RCN)'!P134/1000</f>
        <v>0</v>
      </c>
      <c r="L35" s="621">
        <f>'Rate Base (RCN)'!Q134/1000</f>
        <v>0</v>
      </c>
      <c r="M35" s="621">
        <f>'Rate Base (RCN)'!R134/1000</f>
        <v>0</v>
      </c>
      <c r="N35" s="621">
        <f>SUM(D35:M35)</f>
        <v>-11.195</v>
      </c>
    </row>
    <row r="36" spans="1:14" ht="11.25" customHeight="1">
      <c r="A36" s="561"/>
      <c r="B36" s="528"/>
      <c r="C36" s="528"/>
      <c r="D36" s="622"/>
      <c r="E36" s="622"/>
      <c r="F36" s="622"/>
      <c r="G36" s="622"/>
      <c r="H36" s="622"/>
      <c r="I36" s="622"/>
      <c r="J36" s="622"/>
      <c r="K36" s="622"/>
      <c r="L36" s="622"/>
      <c r="M36" s="622"/>
      <c r="N36" s="622"/>
    </row>
    <row r="37" spans="1:14" ht="11.25" customHeight="1" thickBot="1">
      <c r="A37" s="561">
        <f>+A35+1</f>
        <v>15</v>
      </c>
      <c r="B37" s="528"/>
      <c r="C37" s="516" t="s">
        <v>1021</v>
      </c>
      <c r="D37" s="498">
        <f t="shared" ref="D37:N37" si="12">+D18+D27+D29+D33+D35</f>
        <v>-758.06822108383108</v>
      </c>
      <c r="E37" s="498">
        <f t="shared" ref="E37:K37" si="13">+E18+E27+E29+E33+E35</f>
        <v>-1991.0100000000002</v>
      </c>
      <c r="F37" s="498">
        <f t="shared" si="13"/>
        <v>21282.106455112655</v>
      </c>
      <c r="G37" s="498">
        <f t="shared" si="13"/>
        <v>511.38200000000006</v>
      </c>
      <c r="H37" s="498">
        <f t="shared" ref="H37" si="14">+H18+H27+H29+H33+H35</f>
        <v>-29.244999999999997</v>
      </c>
      <c r="I37" s="498">
        <f t="shared" si="13"/>
        <v>-2926.9491831405903</v>
      </c>
      <c r="J37" s="498">
        <f t="shared" si="13"/>
        <v>-3540.0202300000001</v>
      </c>
      <c r="K37" s="498">
        <f t="shared" si="13"/>
        <v>23957</v>
      </c>
      <c r="L37" s="498">
        <f t="shared" ref="L37:M37" si="15">+L18+L27+L29+L33+L35</f>
        <v>-10300.954680000006</v>
      </c>
      <c r="M37" s="498">
        <f t="shared" si="15"/>
        <v>-5172.7590382017524</v>
      </c>
      <c r="N37" s="637">
        <f t="shared" si="12"/>
        <v>21031.482102686477</v>
      </c>
    </row>
    <row r="38" spans="1:14" ht="11.25" customHeight="1" thickTop="1">
      <c r="A38" s="561"/>
      <c r="B38" s="528"/>
      <c r="C38" s="528"/>
    </row>
    <row r="39" spans="1:14" ht="11.25" customHeight="1">
      <c r="A39" s="561"/>
      <c r="B39" s="528"/>
      <c r="C39" s="656" t="s">
        <v>826</v>
      </c>
      <c r="E39" s="640" t="s">
        <v>990</v>
      </c>
      <c r="F39" s="518"/>
      <c r="G39" s="518"/>
      <c r="H39" s="518"/>
      <c r="I39" s="518"/>
      <c r="N39" s="519"/>
    </row>
    <row r="40" spans="1:14" ht="11.25" customHeight="1">
      <c r="A40" s="561"/>
      <c r="B40" s="528"/>
      <c r="C40" s="657" t="s">
        <v>22</v>
      </c>
      <c r="E40" s="561" t="s">
        <v>1030</v>
      </c>
      <c r="F40" s="518"/>
      <c r="G40" s="518"/>
      <c r="H40" s="518"/>
      <c r="I40" s="518"/>
    </row>
    <row r="41" spans="1:14">
      <c r="A41" s="561"/>
      <c r="B41" s="528"/>
      <c r="C41" s="528"/>
    </row>
    <row r="42" spans="1:14">
      <c r="A42" s="561"/>
      <c r="B42" s="528"/>
      <c r="D42" s="642"/>
      <c r="E42" s="642"/>
      <c r="F42" s="642"/>
      <c r="G42" s="642"/>
      <c r="H42" s="642"/>
      <c r="I42" s="642"/>
      <c r="J42" s="642"/>
      <c r="K42" s="642"/>
      <c r="L42" s="642"/>
      <c r="M42" s="642"/>
      <c r="N42" s="642"/>
    </row>
    <row r="43" spans="1:14">
      <c r="A43" s="528"/>
      <c r="B43" s="528"/>
    </row>
    <row r="44" spans="1:14">
      <c r="A44" s="528"/>
      <c r="B44" s="528"/>
      <c r="C44" s="658"/>
    </row>
    <row r="45" spans="1:14">
      <c r="A45" s="528"/>
      <c r="B45" s="528"/>
      <c r="C45" s="528"/>
      <c r="D45" s="516">
        <f>'Rate Base (RCN)'!I6/1000</f>
        <v>-758.06822108383108</v>
      </c>
      <c r="E45" s="516">
        <f>'Rate Base (RCN)'!J6/1000</f>
        <v>-1991.01</v>
      </c>
      <c r="F45" s="516">
        <f>'Rate Base (RCN)'!K6/1000</f>
        <v>21282.106455112655</v>
      </c>
      <c r="G45" s="516">
        <f>'Rate Base (RCN)'!L6/1000</f>
        <v>511.38200000000001</v>
      </c>
      <c r="H45" s="516">
        <f>'Rate Base (RCN)'!M6/1000</f>
        <v>-29.245000000000001</v>
      </c>
      <c r="I45" s="516">
        <f>'Rate Base (RCN)'!N6/1000</f>
        <v>-2926.9491831405908</v>
      </c>
      <c r="J45" s="516">
        <f>'Rate Base (RCN)'!O6/1000</f>
        <v>-3540.0202300000005</v>
      </c>
      <c r="K45" s="516">
        <f>'Rate Base (RCN)'!P6/1000</f>
        <v>23957</v>
      </c>
      <c r="L45" s="516">
        <f>'Rate Base (RCN)'!Q6/1000</f>
        <v>-10300.954679999997</v>
      </c>
      <c r="M45" s="516">
        <f>'Rate Base (RCN)'!R6/1000</f>
        <v>-5172.7590382017524</v>
      </c>
      <c r="N45" s="516">
        <f>'Rate Base (RCN)'!L1/1000</f>
        <v>21031.482102686485</v>
      </c>
    </row>
    <row r="46" spans="1:14">
      <c r="A46" s="528"/>
      <c r="B46" s="528"/>
      <c r="C46" s="528"/>
      <c r="D46" s="516">
        <f>D37-D45</f>
        <v>0</v>
      </c>
      <c r="E46" s="516">
        <f t="shared" ref="E46:M46" si="16">E37-E45</f>
        <v>0</v>
      </c>
      <c r="F46" s="516">
        <f t="shared" si="16"/>
        <v>0</v>
      </c>
      <c r="G46" s="516">
        <f t="shared" si="16"/>
        <v>0</v>
      </c>
      <c r="H46" s="516">
        <f t="shared" ref="H46" si="17">H37-H45</f>
        <v>0</v>
      </c>
      <c r="I46" s="516">
        <f t="shared" si="16"/>
        <v>0</v>
      </c>
      <c r="J46" s="516">
        <f t="shared" si="16"/>
        <v>0</v>
      </c>
      <c r="K46" s="516">
        <f t="shared" si="16"/>
        <v>0</v>
      </c>
      <c r="L46" s="516">
        <f t="shared" si="16"/>
        <v>0</v>
      </c>
      <c r="M46" s="516">
        <f t="shared" si="16"/>
        <v>0</v>
      </c>
      <c r="N46" s="516">
        <f t="shared" ref="N46" si="18">N37-N45</f>
        <v>0</v>
      </c>
    </row>
    <row r="47" spans="1:14">
      <c r="A47" s="528"/>
      <c r="B47" s="528"/>
      <c r="C47" s="528"/>
      <c r="D47" s="642"/>
      <c r="E47" s="642"/>
      <c r="F47" s="642"/>
      <c r="G47" s="642"/>
      <c r="H47" s="642"/>
      <c r="I47" s="642"/>
      <c r="J47" s="642"/>
      <c r="K47" s="642"/>
      <c r="L47" s="642"/>
      <c r="M47" s="642"/>
      <c r="N47" s="642"/>
    </row>
    <row r="48" spans="1:14">
      <c r="A48" s="528"/>
      <c r="B48" s="528"/>
      <c r="C48" s="547" t="s">
        <v>1031</v>
      </c>
    </row>
    <row r="49" spans="1:3">
      <c r="A49" s="528"/>
      <c r="B49" s="528"/>
      <c r="C49" s="547"/>
    </row>
    <row r="50" spans="1:3">
      <c r="C50" s="641" t="s">
        <v>835</v>
      </c>
    </row>
    <row r="51" spans="1:3">
      <c r="C51" s="548" t="s">
        <v>1015</v>
      </c>
    </row>
    <row r="52" spans="1:3">
      <c r="C52" s="548"/>
    </row>
    <row r="54" spans="1:3">
      <c r="C54" s="528"/>
    </row>
    <row r="57" spans="1:3">
      <c r="C57" s="528"/>
    </row>
    <row r="58" spans="1:3">
      <c r="C58" s="528"/>
    </row>
    <row r="59" spans="1:3">
      <c r="C59" s="528"/>
    </row>
    <row r="60" spans="1:3">
      <c r="C60" s="528"/>
    </row>
    <row r="61" spans="1:3">
      <c r="C61" s="528"/>
    </row>
    <row r="62" spans="1:3">
      <c r="C62" s="528"/>
    </row>
    <row r="63" spans="1:3">
      <c r="C63" s="528"/>
    </row>
    <row r="64" spans="1:3">
      <c r="C64" s="528"/>
    </row>
    <row r="65" spans="3:3">
      <c r="C65" s="528"/>
    </row>
  </sheetData>
  <mergeCells count="4">
    <mergeCell ref="A3:N3"/>
    <mergeCell ref="A4:N4"/>
    <mergeCell ref="A5:N5"/>
    <mergeCell ref="A6:N6"/>
  </mergeCells>
  <printOptions horizontalCentered="1"/>
  <pageMargins left="0.45" right="0.45" top="0.75" bottom="0.75" header="0.3" footer="0.3"/>
  <pageSetup scale="76" fitToHeight="0" orientation="landscape" r:id="rId1"/>
  <headerFooter alignWithMargins="0"/>
  <rowBreaks count="1" manualBreakCount="1">
    <brk id="43" max="24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ED4C-2AB6-4AF3-AF66-7575F0CBBEB4}">
  <sheetPr>
    <tabColor rgb="FFFFFFCC"/>
    <pageSetUpPr fitToPage="1"/>
  </sheetPr>
  <dimension ref="A1:I77"/>
  <sheetViews>
    <sheetView showGridLines="0" zoomScaleNormal="100" zoomScaleSheetLayoutView="100" workbookViewId="0"/>
  </sheetViews>
  <sheetFormatPr defaultColWidth="7" defaultRowHeight="10.199999999999999"/>
  <cols>
    <col min="1" max="1" width="3.88671875" style="660" customWidth="1"/>
    <col min="2" max="2" width="18.5546875" style="659" customWidth="1"/>
    <col min="3" max="3" width="8.5546875" style="660" customWidth="1"/>
    <col min="4" max="4" width="30.5546875" style="659" customWidth="1"/>
    <col min="5" max="5" width="15.5546875" style="659" customWidth="1"/>
    <col min="6" max="6" width="8" style="659" customWidth="1"/>
    <col min="7" max="7" width="15.5546875" style="659" customWidth="1"/>
    <col min="8" max="8" width="3.88671875" style="659" customWidth="1"/>
    <col min="9" max="9" width="15.5546875" style="659" customWidth="1"/>
    <col min="10" max="248" width="7" style="659"/>
    <col min="249" max="249" width="4.44140625" style="659" customWidth="1"/>
    <col min="250" max="250" width="2.88671875" style="659" customWidth="1"/>
    <col min="251" max="251" width="16.6640625" style="659" customWidth="1"/>
    <col min="252" max="252" width="2.88671875" style="659" customWidth="1"/>
    <col min="253" max="253" width="6.5546875" style="659" customWidth="1"/>
    <col min="254" max="254" width="2.88671875" style="659" customWidth="1"/>
    <col min="255" max="255" width="26.109375" style="659" customWidth="1"/>
    <col min="256" max="256" width="2.88671875" style="659" customWidth="1"/>
    <col min="257" max="257" width="10.88671875" style="659" customWidth="1"/>
    <col min="258" max="258" width="2.88671875" style="659" customWidth="1"/>
    <col min="259" max="259" width="8" style="659" customWidth="1"/>
    <col min="260" max="260" width="2.88671875" style="659" customWidth="1"/>
    <col min="261" max="261" width="10.88671875" style="659" customWidth="1"/>
    <col min="262" max="262" width="2.88671875" style="659" customWidth="1"/>
    <col min="263" max="263" width="4.44140625" style="659" customWidth="1"/>
    <col min="264" max="264" width="2.88671875" style="659" customWidth="1"/>
    <col min="265" max="265" width="11.5546875" style="659" customWidth="1"/>
    <col min="266" max="504" width="7" style="659"/>
    <col min="505" max="505" width="4.44140625" style="659" customWidth="1"/>
    <col min="506" max="506" width="2.88671875" style="659" customWidth="1"/>
    <col min="507" max="507" width="16.6640625" style="659" customWidth="1"/>
    <col min="508" max="508" width="2.88671875" style="659" customWidth="1"/>
    <col min="509" max="509" width="6.5546875" style="659" customWidth="1"/>
    <col min="510" max="510" width="2.88671875" style="659" customWidth="1"/>
    <col min="511" max="511" width="26.109375" style="659" customWidth="1"/>
    <col min="512" max="512" width="2.88671875" style="659" customWidth="1"/>
    <col min="513" max="513" width="10.88671875" style="659" customWidth="1"/>
    <col min="514" max="514" width="2.88671875" style="659" customWidth="1"/>
    <col min="515" max="515" width="8" style="659" customWidth="1"/>
    <col min="516" max="516" width="2.88671875" style="659" customWidth="1"/>
    <col min="517" max="517" width="10.88671875" style="659" customWidth="1"/>
    <col min="518" max="518" width="2.88671875" style="659" customWidth="1"/>
    <col min="519" max="519" width="4.44140625" style="659" customWidth="1"/>
    <col min="520" max="520" width="2.88671875" style="659" customWidth="1"/>
    <col min="521" max="521" width="11.5546875" style="659" customWidth="1"/>
    <col min="522" max="760" width="7" style="659"/>
    <col min="761" max="761" width="4.44140625" style="659" customWidth="1"/>
    <col min="762" max="762" width="2.88671875" style="659" customWidth="1"/>
    <col min="763" max="763" width="16.6640625" style="659" customWidth="1"/>
    <col min="764" max="764" width="2.88671875" style="659" customWidth="1"/>
    <col min="765" max="765" width="6.5546875" style="659" customWidth="1"/>
    <col min="766" max="766" width="2.88671875" style="659" customWidth="1"/>
    <col min="767" max="767" width="26.109375" style="659" customWidth="1"/>
    <col min="768" max="768" width="2.88671875" style="659" customWidth="1"/>
    <col min="769" max="769" width="10.88671875" style="659" customWidth="1"/>
    <col min="770" max="770" width="2.88671875" style="659" customWidth="1"/>
    <col min="771" max="771" width="8" style="659" customWidth="1"/>
    <col min="772" max="772" width="2.88671875" style="659" customWidth="1"/>
    <col min="773" max="773" width="10.88671875" style="659" customWidth="1"/>
    <col min="774" max="774" width="2.88671875" style="659" customWidth="1"/>
    <col min="775" max="775" width="4.44140625" style="659" customWidth="1"/>
    <col min="776" max="776" width="2.88671875" style="659" customWidth="1"/>
    <col min="777" max="777" width="11.5546875" style="659" customWidth="1"/>
    <col min="778" max="1016" width="7" style="659"/>
    <col min="1017" max="1017" width="4.44140625" style="659" customWidth="1"/>
    <col min="1018" max="1018" width="2.88671875" style="659" customWidth="1"/>
    <col min="1019" max="1019" width="16.6640625" style="659" customWidth="1"/>
    <col min="1020" max="1020" width="2.88671875" style="659" customWidth="1"/>
    <col min="1021" max="1021" width="6.5546875" style="659" customWidth="1"/>
    <col min="1022" max="1022" width="2.88671875" style="659" customWidth="1"/>
    <col min="1023" max="1023" width="26.109375" style="659" customWidth="1"/>
    <col min="1024" max="1024" width="2.88671875" style="659" customWidth="1"/>
    <col min="1025" max="1025" width="10.88671875" style="659" customWidth="1"/>
    <col min="1026" max="1026" width="2.88671875" style="659" customWidth="1"/>
    <col min="1027" max="1027" width="8" style="659" customWidth="1"/>
    <col min="1028" max="1028" width="2.88671875" style="659" customWidth="1"/>
    <col min="1029" max="1029" width="10.88671875" style="659" customWidth="1"/>
    <col min="1030" max="1030" width="2.88671875" style="659" customWidth="1"/>
    <col min="1031" max="1031" width="4.44140625" style="659" customWidth="1"/>
    <col min="1032" max="1032" width="2.88671875" style="659" customWidth="1"/>
    <col min="1033" max="1033" width="11.5546875" style="659" customWidth="1"/>
    <col min="1034" max="1272" width="7" style="659"/>
    <col min="1273" max="1273" width="4.44140625" style="659" customWidth="1"/>
    <col min="1274" max="1274" width="2.88671875" style="659" customWidth="1"/>
    <col min="1275" max="1275" width="16.6640625" style="659" customWidth="1"/>
    <col min="1276" max="1276" width="2.88671875" style="659" customWidth="1"/>
    <col min="1277" max="1277" width="6.5546875" style="659" customWidth="1"/>
    <col min="1278" max="1278" width="2.88671875" style="659" customWidth="1"/>
    <col min="1279" max="1279" width="26.109375" style="659" customWidth="1"/>
    <col min="1280" max="1280" width="2.88671875" style="659" customWidth="1"/>
    <col min="1281" max="1281" width="10.88671875" style="659" customWidth="1"/>
    <col min="1282" max="1282" width="2.88671875" style="659" customWidth="1"/>
    <col min="1283" max="1283" width="8" style="659" customWidth="1"/>
    <col min="1284" max="1284" width="2.88671875" style="659" customWidth="1"/>
    <col min="1285" max="1285" width="10.88671875" style="659" customWidth="1"/>
    <col min="1286" max="1286" width="2.88671875" style="659" customWidth="1"/>
    <col min="1287" max="1287" width="4.44140625" style="659" customWidth="1"/>
    <col min="1288" max="1288" width="2.88671875" style="659" customWidth="1"/>
    <col min="1289" max="1289" width="11.5546875" style="659" customWidth="1"/>
    <col min="1290" max="1528" width="7" style="659"/>
    <col min="1529" max="1529" width="4.44140625" style="659" customWidth="1"/>
    <col min="1530" max="1530" width="2.88671875" style="659" customWidth="1"/>
    <col min="1531" max="1531" width="16.6640625" style="659" customWidth="1"/>
    <col min="1532" max="1532" width="2.88671875" style="659" customWidth="1"/>
    <col min="1533" max="1533" width="6.5546875" style="659" customWidth="1"/>
    <col min="1534" max="1534" width="2.88671875" style="659" customWidth="1"/>
    <col min="1535" max="1535" width="26.109375" style="659" customWidth="1"/>
    <col min="1536" max="1536" width="2.88671875" style="659" customWidth="1"/>
    <col min="1537" max="1537" width="10.88671875" style="659" customWidth="1"/>
    <col min="1538" max="1538" width="2.88671875" style="659" customWidth="1"/>
    <col min="1539" max="1539" width="8" style="659" customWidth="1"/>
    <col min="1540" max="1540" width="2.88671875" style="659" customWidth="1"/>
    <col min="1541" max="1541" width="10.88671875" style="659" customWidth="1"/>
    <col min="1542" max="1542" width="2.88671875" style="659" customWidth="1"/>
    <col min="1543" max="1543" width="4.44140625" style="659" customWidth="1"/>
    <col min="1544" max="1544" width="2.88671875" style="659" customWidth="1"/>
    <col min="1545" max="1545" width="11.5546875" style="659" customWidth="1"/>
    <col min="1546" max="1784" width="7" style="659"/>
    <col min="1785" max="1785" width="4.44140625" style="659" customWidth="1"/>
    <col min="1786" max="1786" width="2.88671875" style="659" customWidth="1"/>
    <col min="1787" max="1787" width="16.6640625" style="659" customWidth="1"/>
    <col min="1788" max="1788" width="2.88671875" style="659" customWidth="1"/>
    <col min="1789" max="1789" width="6.5546875" style="659" customWidth="1"/>
    <col min="1790" max="1790" width="2.88671875" style="659" customWidth="1"/>
    <col min="1791" max="1791" width="26.109375" style="659" customWidth="1"/>
    <col min="1792" max="1792" width="2.88671875" style="659" customWidth="1"/>
    <col min="1793" max="1793" width="10.88671875" style="659" customWidth="1"/>
    <col min="1794" max="1794" width="2.88671875" style="659" customWidth="1"/>
    <col min="1795" max="1795" width="8" style="659" customWidth="1"/>
    <col min="1796" max="1796" width="2.88671875" style="659" customWidth="1"/>
    <col min="1797" max="1797" width="10.88671875" style="659" customWidth="1"/>
    <col min="1798" max="1798" width="2.88671875" style="659" customWidth="1"/>
    <col min="1799" max="1799" width="4.44140625" style="659" customWidth="1"/>
    <col min="1800" max="1800" width="2.88671875" style="659" customWidth="1"/>
    <col min="1801" max="1801" width="11.5546875" style="659" customWidth="1"/>
    <col min="1802" max="2040" width="7" style="659"/>
    <col min="2041" max="2041" width="4.44140625" style="659" customWidth="1"/>
    <col min="2042" max="2042" width="2.88671875" style="659" customWidth="1"/>
    <col min="2043" max="2043" width="16.6640625" style="659" customWidth="1"/>
    <col min="2044" max="2044" width="2.88671875" style="659" customWidth="1"/>
    <col min="2045" max="2045" width="6.5546875" style="659" customWidth="1"/>
    <col min="2046" max="2046" width="2.88671875" style="659" customWidth="1"/>
    <col min="2047" max="2047" width="26.109375" style="659" customWidth="1"/>
    <col min="2048" max="2048" width="2.88671875" style="659" customWidth="1"/>
    <col min="2049" max="2049" width="10.88671875" style="659" customWidth="1"/>
    <col min="2050" max="2050" width="2.88671875" style="659" customWidth="1"/>
    <col min="2051" max="2051" width="8" style="659" customWidth="1"/>
    <col min="2052" max="2052" width="2.88671875" style="659" customWidth="1"/>
    <col min="2053" max="2053" width="10.88671875" style="659" customWidth="1"/>
    <col min="2054" max="2054" width="2.88671875" style="659" customWidth="1"/>
    <col min="2055" max="2055" width="4.44140625" style="659" customWidth="1"/>
    <col min="2056" max="2056" width="2.88671875" style="659" customWidth="1"/>
    <col min="2057" max="2057" width="11.5546875" style="659" customWidth="1"/>
    <col min="2058" max="2296" width="7" style="659"/>
    <col min="2297" max="2297" width="4.44140625" style="659" customWidth="1"/>
    <col min="2298" max="2298" width="2.88671875" style="659" customWidth="1"/>
    <col min="2299" max="2299" width="16.6640625" style="659" customWidth="1"/>
    <col min="2300" max="2300" width="2.88671875" style="659" customWidth="1"/>
    <col min="2301" max="2301" width="6.5546875" style="659" customWidth="1"/>
    <col min="2302" max="2302" width="2.88671875" style="659" customWidth="1"/>
    <col min="2303" max="2303" width="26.109375" style="659" customWidth="1"/>
    <col min="2304" max="2304" width="2.88671875" style="659" customWidth="1"/>
    <col min="2305" max="2305" width="10.88671875" style="659" customWidth="1"/>
    <col min="2306" max="2306" width="2.88671875" style="659" customWidth="1"/>
    <col min="2307" max="2307" width="8" style="659" customWidth="1"/>
    <col min="2308" max="2308" width="2.88671875" style="659" customWidth="1"/>
    <col min="2309" max="2309" width="10.88671875" style="659" customWidth="1"/>
    <col min="2310" max="2310" width="2.88671875" style="659" customWidth="1"/>
    <col min="2311" max="2311" width="4.44140625" style="659" customWidth="1"/>
    <col min="2312" max="2312" width="2.88671875" style="659" customWidth="1"/>
    <col min="2313" max="2313" width="11.5546875" style="659" customWidth="1"/>
    <col min="2314" max="2552" width="7" style="659"/>
    <col min="2553" max="2553" width="4.44140625" style="659" customWidth="1"/>
    <col min="2554" max="2554" width="2.88671875" style="659" customWidth="1"/>
    <col min="2555" max="2555" width="16.6640625" style="659" customWidth="1"/>
    <col min="2556" max="2556" width="2.88671875" style="659" customWidth="1"/>
    <col min="2557" max="2557" width="6.5546875" style="659" customWidth="1"/>
    <col min="2558" max="2558" width="2.88671875" style="659" customWidth="1"/>
    <col min="2559" max="2559" width="26.109375" style="659" customWidth="1"/>
    <col min="2560" max="2560" width="2.88671875" style="659" customWidth="1"/>
    <col min="2561" max="2561" width="10.88671875" style="659" customWidth="1"/>
    <col min="2562" max="2562" width="2.88671875" style="659" customWidth="1"/>
    <col min="2563" max="2563" width="8" style="659" customWidth="1"/>
    <col min="2564" max="2564" width="2.88671875" style="659" customWidth="1"/>
    <col min="2565" max="2565" width="10.88671875" style="659" customWidth="1"/>
    <col min="2566" max="2566" width="2.88671875" style="659" customWidth="1"/>
    <col min="2567" max="2567" width="4.44140625" style="659" customWidth="1"/>
    <col min="2568" max="2568" width="2.88671875" style="659" customWidth="1"/>
    <col min="2569" max="2569" width="11.5546875" style="659" customWidth="1"/>
    <col min="2570" max="2808" width="7" style="659"/>
    <col min="2809" max="2809" width="4.44140625" style="659" customWidth="1"/>
    <col min="2810" max="2810" width="2.88671875" style="659" customWidth="1"/>
    <col min="2811" max="2811" width="16.6640625" style="659" customWidth="1"/>
    <col min="2812" max="2812" width="2.88671875" style="659" customWidth="1"/>
    <col min="2813" max="2813" width="6.5546875" style="659" customWidth="1"/>
    <col min="2814" max="2814" width="2.88671875" style="659" customWidth="1"/>
    <col min="2815" max="2815" width="26.109375" style="659" customWidth="1"/>
    <col min="2816" max="2816" width="2.88671875" style="659" customWidth="1"/>
    <col min="2817" max="2817" width="10.88671875" style="659" customWidth="1"/>
    <col min="2818" max="2818" width="2.88671875" style="659" customWidth="1"/>
    <col min="2819" max="2819" width="8" style="659" customWidth="1"/>
    <col min="2820" max="2820" width="2.88671875" style="659" customWidth="1"/>
    <col min="2821" max="2821" width="10.88671875" style="659" customWidth="1"/>
    <col min="2822" max="2822" width="2.88671875" style="659" customWidth="1"/>
    <col min="2823" max="2823" width="4.44140625" style="659" customWidth="1"/>
    <col min="2824" max="2824" width="2.88671875" style="659" customWidth="1"/>
    <col min="2825" max="2825" width="11.5546875" style="659" customWidth="1"/>
    <col min="2826" max="3064" width="7" style="659"/>
    <col min="3065" max="3065" width="4.44140625" style="659" customWidth="1"/>
    <col min="3066" max="3066" width="2.88671875" style="659" customWidth="1"/>
    <col min="3067" max="3067" width="16.6640625" style="659" customWidth="1"/>
    <col min="3068" max="3068" width="2.88671875" style="659" customWidth="1"/>
    <col min="3069" max="3069" width="6.5546875" style="659" customWidth="1"/>
    <col min="3070" max="3070" width="2.88671875" style="659" customWidth="1"/>
    <col min="3071" max="3071" width="26.109375" style="659" customWidth="1"/>
    <col min="3072" max="3072" width="2.88671875" style="659" customWidth="1"/>
    <col min="3073" max="3073" width="10.88671875" style="659" customWidth="1"/>
    <col min="3074" max="3074" width="2.88671875" style="659" customWidth="1"/>
    <col min="3075" max="3075" width="8" style="659" customWidth="1"/>
    <col min="3076" max="3076" width="2.88671875" style="659" customWidth="1"/>
    <col min="3077" max="3077" width="10.88671875" style="659" customWidth="1"/>
    <col min="3078" max="3078" width="2.88671875" style="659" customWidth="1"/>
    <col min="3079" max="3079" width="4.44140625" style="659" customWidth="1"/>
    <col min="3080" max="3080" width="2.88671875" style="659" customWidth="1"/>
    <col min="3081" max="3081" width="11.5546875" style="659" customWidth="1"/>
    <col min="3082" max="3320" width="7" style="659"/>
    <col min="3321" max="3321" width="4.44140625" style="659" customWidth="1"/>
    <col min="3322" max="3322" width="2.88671875" style="659" customWidth="1"/>
    <col min="3323" max="3323" width="16.6640625" style="659" customWidth="1"/>
    <col min="3324" max="3324" width="2.88671875" style="659" customWidth="1"/>
    <col min="3325" max="3325" width="6.5546875" style="659" customWidth="1"/>
    <col min="3326" max="3326" width="2.88671875" style="659" customWidth="1"/>
    <col min="3327" max="3327" width="26.109375" style="659" customWidth="1"/>
    <col min="3328" max="3328" width="2.88671875" style="659" customWidth="1"/>
    <col min="3329" max="3329" width="10.88671875" style="659" customWidth="1"/>
    <col min="3330" max="3330" width="2.88671875" style="659" customWidth="1"/>
    <col min="3331" max="3331" width="8" style="659" customWidth="1"/>
    <col min="3332" max="3332" width="2.88671875" style="659" customWidth="1"/>
    <col min="3333" max="3333" width="10.88671875" style="659" customWidth="1"/>
    <col min="3334" max="3334" width="2.88671875" style="659" customWidth="1"/>
    <col min="3335" max="3335" width="4.44140625" style="659" customWidth="1"/>
    <col min="3336" max="3336" width="2.88671875" style="659" customWidth="1"/>
    <col min="3337" max="3337" width="11.5546875" style="659" customWidth="1"/>
    <col min="3338" max="3576" width="7" style="659"/>
    <col min="3577" max="3577" width="4.44140625" style="659" customWidth="1"/>
    <col min="3578" max="3578" width="2.88671875" style="659" customWidth="1"/>
    <col min="3579" max="3579" width="16.6640625" style="659" customWidth="1"/>
    <col min="3580" max="3580" width="2.88671875" style="659" customWidth="1"/>
    <col min="3581" max="3581" width="6.5546875" style="659" customWidth="1"/>
    <col min="3582" max="3582" width="2.88671875" style="659" customWidth="1"/>
    <col min="3583" max="3583" width="26.109375" style="659" customWidth="1"/>
    <col min="3584" max="3584" width="2.88671875" style="659" customWidth="1"/>
    <col min="3585" max="3585" width="10.88671875" style="659" customWidth="1"/>
    <col min="3586" max="3586" width="2.88671875" style="659" customWidth="1"/>
    <col min="3587" max="3587" width="8" style="659" customWidth="1"/>
    <col min="3588" max="3588" width="2.88671875" style="659" customWidth="1"/>
    <col min="3589" max="3589" width="10.88671875" style="659" customWidth="1"/>
    <col min="3590" max="3590" width="2.88671875" style="659" customWidth="1"/>
    <col min="3591" max="3591" width="4.44140625" style="659" customWidth="1"/>
    <col min="3592" max="3592" width="2.88671875" style="659" customWidth="1"/>
    <col min="3593" max="3593" width="11.5546875" style="659" customWidth="1"/>
    <col min="3594" max="3832" width="7" style="659"/>
    <col min="3833" max="3833" width="4.44140625" style="659" customWidth="1"/>
    <col min="3834" max="3834" width="2.88671875" style="659" customWidth="1"/>
    <col min="3835" max="3835" width="16.6640625" style="659" customWidth="1"/>
    <col min="3836" max="3836" width="2.88671875" style="659" customWidth="1"/>
    <col min="3837" max="3837" width="6.5546875" style="659" customWidth="1"/>
    <col min="3838" max="3838" width="2.88671875" style="659" customWidth="1"/>
    <col min="3839" max="3839" width="26.109375" style="659" customWidth="1"/>
    <col min="3840" max="3840" width="2.88671875" style="659" customWidth="1"/>
    <col min="3841" max="3841" width="10.88671875" style="659" customWidth="1"/>
    <col min="3842" max="3842" width="2.88671875" style="659" customWidth="1"/>
    <col min="3843" max="3843" width="8" style="659" customWidth="1"/>
    <col min="3844" max="3844" width="2.88671875" style="659" customWidth="1"/>
    <col min="3845" max="3845" width="10.88671875" style="659" customWidth="1"/>
    <col min="3846" max="3846" width="2.88671875" style="659" customWidth="1"/>
    <col min="3847" max="3847" width="4.44140625" style="659" customWidth="1"/>
    <col min="3848" max="3848" width="2.88671875" style="659" customWidth="1"/>
    <col min="3849" max="3849" width="11.5546875" style="659" customWidth="1"/>
    <col min="3850" max="4088" width="7" style="659"/>
    <col min="4089" max="4089" width="4.44140625" style="659" customWidth="1"/>
    <col min="4090" max="4090" width="2.88671875" style="659" customWidth="1"/>
    <col min="4091" max="4091" width="16.6640625" style="659" customWidth="1"/>
    <col min="4092" max="4092" width="2.88671875" style="659" customWidth="1"/>
    <col min="4093" max="4093" width="6.5546875" style="659" customWidth="1"/>
    <col min="4094" max="4094" width="2.88671875" style="659" customWidth="1"/>
    <col min="4095" max="4095" width="26.109375" style="659" customWidth="1"/>
    <col min="4096" max="4096" width="2.88671875" style="659" customWidth="1"/>
    <col min="4097" max="4097" width="10.88671875" style="659" customWidth="1"/>
    <col min="4098" max="4098" width="2.88671875" style="659" customWidth="1"/>
    <col min="4099" max="4099" width="8" style="659" customWidth="1"/>
    <col min="4100" max="4100" width="2.88671875" style="659" customWidth="1"/>
    <col min="4101" max="4101" width="10.88671875" style="659" customWidth="1"/>
    <col min="4102" max="4102" width="2.88671875" style="659" customWidth="1"/>
    <col min="4103" max="4103" width="4.44140625" style="659" customWidth="1"/>
    <col min="4104" max="4104" width="2.88671875" style="659" customWidth="1"/>
    <col min="4105" max="4105" width="11.5546875" style="659" customWidth="1"/>
    <col min="4106" max="4344" width="7" style="659"/>
    <col min="4345" max="4345" width="4.44140625" style="659" customWidth="1"/>
    <col min="4346" max="4346" width="2.88671875" style="659" customWidth="1"/>
    <col min="4347" max="4347" width="16.6640625" style="659" customWidth="1"/>
    <col min="4348" max="4348" width="2.88671875" style="659" customWidth="1"/>
    <col min="4349" max="4349" width="6.5546875" style="659" customWidth="1"/>
    <col min="4350" max="4350" width="2.88671875" style="659" customWidth="1"/>
    <col min="4351" max="4351" width="26.109375" style="659" customWidth="1"/>
    <col min="4352" max="4352" width="2.88671875" style="659" customWidth="1"/>
    <col min="4353" max="4353" width="10.88671875" style="659" customWidth="1"/>
    <col min="4354" max="4354" width="2.88671875" style="659" customWidth="1"/>
    <col min="4355" max="4355" width="8" style="659" customWidth="1"/>
    <col min="4356" max="4356" width="2.88671875" style="659" customWidth="1"/>
    <col min="4357" max="4357" width="10.88671875" style="659" customWidth="1"/>
    <col min="4358" max="4358" width="2.88671875" style="659" customWidth="1"/>
    <col min="4359" max="4359" width="4.44140625" style="659" customWidth="1"/>
    <col min="4360" max="4360" width="2.88671875" style="659" customWidth="1"/>
    <col min="4361" max="4361" width="11.5546875" style="659" customWidth="1"/>
    <col min="4362" max="4600" width="7" style="659"/>
    <col min="4601" max="4601" width="4.44140625" style="659" customWidth="1"/>
    <col min="4602" max="4602" width="2.88671875" style="659" customWidth="1"/>
    <col min="4603" max="4603" width="16.6640625" style="659" customWidth="1"/>
    <col min="4604" max="4604" width="2.88671875" style="659" customWidth="1"/>
    <col min="4605" max="4605" width="6.5546875" style="659" customWidth="1"/>
    <col min="4606" max="4606" width="2.88671875" style="659" customWidth="1"/>
    <col min="4607" max="4607" width="26.109375" style="659" customWidth="1"/>
    <col min="4608" max="4608" width="2.88671875" style="659" customWidth="1"/>
    <col min="4609" max="4609" width="10.88671875" style="659" customWidth="1"/>
    <col min="4610" max="4610" width="2.88671875" style="659" customWidth="1"/>
    <col min="4611" max="4611" width="8" style="659" customWidth="1"/>
    <col min="4612" max="4612" width="2.88671875" style="659" customWidth="1"/>
    <col min="4613" max="4613" width="10.88671875" style="659" customWidth="1"/>
    <col min="4614" max="4614" width="2.88671875" style="659" customWidth="1"/>
    <col min="4615" max="4615" width="4.44140625" style="659" customWidth="1"/>
    <col min="4616" max="4616" width="2.88671875" style="659" customWidth="1"/>
    <col min="4617" max="4617" width="11.5546875" style="659" customWidth="1"/>
    <col min="4618" max="4856" width="7" style="659"/>
    <col min="4857" max="4857" width="4.44140625" style="659" customWidth="1"/>
    <col min="4858" max="4858" width="2.88671875" style="659" customWidth="1"/>
    <col min="4859" max="4859" width="16.6640625" style="659" customWidth="1"/>
    <col min="4860" max="4860" width="2.88671875" style="659" customWidth="1"/>
    <col min="4861" max="4861" width="6.5546875" style="659" customWidth="1"/>
    <col min="4862" max="4862" width="2.88671875" style="659" customWidth="1"/>
    <col min="4863" max="4863" width="26.109375" style="659" customWidth="1"/>
    <col min="4864" max="4864" width="2.88671875" style="659" customWidth="1"/>
    <col min="4865" max="4865" width="10.88671875" style="659" customWidth="1"/>
    <col min="4866" max="4866" width="2.88671875" style="659" customWidth="1"/>
    <col min="4867" max="4867" width="8" style="659" customWidth="1"/>
    <col min="4868" max="4868" width="2.88671875" style="659" customWidth="1"/>
    <col min="4869" max="4869" width="10.88671875" style="659" customWidth="1"/>
    <col min="4870" max="4870" width="2.88671875" style="659" customWidth="1"/>
    <col min="4871" max="4871" width="4.44140625" style="659" customWidth="1"/>
    <col min="4872" max="4872" width="2.88671875" style="659" customWidth="1"/>
    <col min="4873" max="4873" width="11.5546875" style="659" customWidth="1"/>
    <col min="4874" max="5112" width="7" style="659"/>
    <col min="5113" max="5113" width="4.44140625" style="659" customWidth="1"/>
    <col min="5114" max="5114" width="2.88671875" style="659" customWidth="1"/>
    <col min="5115" max="5115" width="16.6640625" style="659" customWidth="1"/>
    <col min="5116" max="5116" width="2.88671875" style="659" customWidth="1"/>
    <col min="5117" max="5117" width="6.5546875" style="659" customWidth="1"/>
    <col min="5118" max="5118" width="2.88671875" style="659" customWidth="1"/>
    <col min="5119" max="5119" width="26.109375" style="659" customWidth="1"/>
    <col min="5120" max="5120" width="2.88671875" style="659" customWidth="1"/>
    <col min="5121" max="5121" width="10.88671875" style="659" customWidth="1"/>
    <col min="5122" max="5122" width="2.88671875" style="659" customWidth="1"/>
    <col min="5123" max="5123" width="8" style="659" customWidth="1"/>
    <col min="5124" max="5124" width="2.88671875" style="659" customWidth="1"/>
    <col min="5125" max="5125" width="10.88671875" style="659" customWidth="1"/>
    <col min="5126" max="5126" width="2.88671875" style="659" customWidth="1"/>
    <col min="5127" max="5127" width="4.44140625" style="659" customWidth="1"/>
    <col min="5128" max="5128" width="2.88671875" style="659" customWidth="1"/>
    <col min="5129" max="5129" width="11.5546875" style="659" customWidth="1"/>
    <col min="5130" max="5368" width="7" style="659"/>
    <col min="5369" max="5369" width="4.44140625" style="659" customWidth="1"/>
    <col min="5370" max="5370" width="2.88671875" style="659" customWidth="1"/>
    <col min="5371" max="5371" width="16.6640625" style="659" customWidth="1"/>
    <col min="5372" max="5372" width="2.88671875" style="659" customWidth="1"/>
    <col min="5373" max="5373" width="6.5546875" style="659" customWidth="1"/>
    <col min="5374" max="5374" width="2.88671875" style="659" customWidth="1"/>
    <col min="5375" max="5375" width="26.109375" style="659" customWidth="1"/>
    <col min="5376" max="5376" width="2.88671875" style="659" customWidth="1"/>
    <col min="5377" max="5377" width="10.88671875" style="659" customWidth="1"/>
    <col min="5378" max="5378" width="2.88671875" style="659" customWidth="1"/>
    <col min="5379" max="5379" width="8" style="659" customWidth="1"/>
    <col min="5380" max="5380" width="2.88671875" style="659" customWidth="1"/>
    <col min="5381" max="5381" width="10.88671875" style="659" customWidth="1"/>
    <col min="5382" max="5382" width="2.88671875" style="659" customWidth="1"/>
    <col min="5383" max="5383" width="4.44140625" style="659" customWidth="1"/>
    <col min="5384" max="5384" width="2.88671875" style="659" customWidth="1"/>
    <col min="5385" max="5385" width="11.5546875" style="659" customWidth="1"/>
    <col min="5386" max="5624" width="7" style="659"/>
    <col min="5625" max="5625" width="4.44140625" style="659" customWidth="1"/>
    <col min="5626" max="5626" width="2.88671875" style="659" customWidth="1"/>
    <col min="5627" max="5627" width="16.6640625" style="659" customWidth="1"/>
    <col min="5628" max="5628" width="2.88671875" style="659" customWidth="1"/>
    <col min="5629" max="5629" width="6.5546875" style="659" customWidth="1"/>
    <col min="5630" max="5630" width="2.88671875" style="659" customWidth="1"/>
    <col min="5631" max="5631" width="26.109375" style="659" customWidth="1"/>
    <col min="5632" max="5632" width="2.88671875" style="659" customWidth="1"/>
    <col min="5633" max="5633" width="10.88671875" style="659" customWidth="1"/>
    <col min="5634" max="5634" width="2.88671875" style="659" customWidth="1"/>
    <col min="5635" max="5635" width="8" style="659" customWidth="1"/>
    <col min="5636" max="5636" width="2.88671875" style="659" customWidth="1"/>
    <col min="5637" max="5637" width="10.88671875" style="659" customWidth="1"/>
    <col min="5638" max="5638" width="2.88671875" style="659" customWidth="1"/>
    <col min="5639" max="5639" width="4.44140625" style="659" customWidth="1"/>
    <col min="5640" max="5640" width="2.88671875" style="659" customWidth="1"/>
    <col min="5641" max="5641" width="11.5546875" style="659" customWidth="1"/>
    <col min="5642" max="5880" width="7" style="659"/>
    <col min="5881" max="5881" width="4.44140625" style="659" customWidth="1"/>
    <col min="5882" max="5882" width="2.88671875" style="659" customWidth="1"/>
    <col min="5883" max="5883" width="16.6640625" style="659" customWidth="1"/>
    <col min="5884" max="5884" width="2.88671875" style="659" customWidth="1"/>
    <col min="5885" max="5885" width="6.5546875" style="659" customWidth="1"/>
    <col min="5886" max="5886" width="2.88671875" style="659" customWidth="1"/>
    <col min="5887" max="5887" width="26.109375" style="659" customWidth="1"/>
    <col min="5888" max="5888" width="2.88671875" style="659" customWidth="1"/>
    <col min="5889" max="5889" width="10.88671875" style="659" customWidth="1"/>
    <col min="5890" max="5890" width="2.88671875" style="659" customWidth="1"/>
    <col min="5891" max="5891" width="8" style="659" customWidth="1"/>
    <col min="5892" max="5892" width="2.88671875" style="659" customWidth="1"/>
    <col min="5893" max="5893" width="10.88671875" style="659" customWidth="1"/>
    <col min="5894" max="5894" width="2.88671875" style="659" customWidth="1"/>
    <col min="5895" max="5895" width="4.44140625" style="659" customWidth="1"/>
    <col min="5896" max="5896" width="2.88671875" style="659" customWidth="1"/>
    <col min="5897" max="5897" width="11.5546875" style="659" customWidth="1"/>
    <col min="5898" max="6136" width="7" style="659"/>
    <col min="6137" max="6137" width="4.44140625" style="659" customWidth="1"/>
    <col min="6138" max="6138" width="2.88671875" style="659" customWidth="1"/>
    <col min="6139" max="6139" width="16.6640625" style="659" customWidth="1"/>
    <col min="6140" max="6140" width="2.88671875" style="659" customWidth="1"/>
    <col min="6141" max="6141" width="6.5546875" style="659" customWidth="1"/>
    <col min="6142" max="6142" width="2.88671875" style="659" customWidth="1"/>
    <col min="6143" max="6143" width="26.109375" style="659" customWidth="1"/>
    <col min="6144" max="6144" width="2.88671875" style="659" customWidth="1"/>
    <col min="6145" max="6145" width="10.88671875" style="659" customWidth="1"/>
    <col min="6146" max="6146" width="2.88671875" style="659" customWidth="1"/>
    <col min="6147" max="6147" width="8" style="659" customWidth="1"/>
    <col min="6148" max="6148" width="2.88671875" style="659" customWidth="1"/>
    <col min="6149" max="6149" width="10.88671875" style="659" customWidth="1"/>
    <col min="6150" max="6150" width="2.88671875" style="659" customWidth="1"/>
    <col min="6151" max="6151" width="4.44140625" style="659" customWidth="1"/>
    <col min="6152" max="6152" width="2.88671875" style="659" customWidth="1"/>
    <col min="6153" max="6153" width="11.5546875" style="659" customWidth="1"/>
    <col min="6154" max="6392" width="7" style="659"/>
    <col min="6393" max="6393" width="4.44140625" style="659" customWidth="1"/>
    <col min="6394" max="6394" width="2.88671875" style="659" customWidth="1"/>
    <col min="6395" max="6395" width="16.6640625" style="659" customWidth="1"/>
    <col min="6396" max="6396" width="2.88671875" style="659" customWidth="1"/>
    <col min="6397" max="6397" width="6.5546875" style="659" customWidth="1"/>
    <col min="6398" max="6398" width="2.88671875" style="659" customWidth="1"/>
    <col min="6399" max="6399" width="26.109375" style="659" customWidth="1"/>
    <col min="6400" max="6400" width="2.88671875" style="659" customWidth="1"/>
    <col min="6401" max="6401" width="10.88671875" style="659" customWidth="1"/>
    <col min="6402" max="6402" width="2.88671875" style="659" customWidth="1"/>
    <col min="6403" max="6403" width="8" style="659" customWidth="1"/>
    <col min="6404" max="6404" width="2.88671875" style="659" customWidth="1"/>
    <col min="6405" max="6405" width="10.88671875" style="659" customWidth="1"/>
    <col min="6406" max="6406" width="2.88671875" style="659" customWidth="1"/>
    <col min="6407" max="6407" width="4.44140625" style="659" customWidth="1"/>
    <col min="6408" max="6408" width="2.88671875" style="659" customWidth="1"/>
    <col min="6409" max="6409" width="11.5546875" style="659" customWidth="1"/>
    <col min="6410" max="6648" width="7" style="659"/>
    <col min="6649" max="6649" width="4.44140625" style="659" customWidth="1"/>
    <col min="6650" max="6650" width="2.88671875" style="659" customWidth="1"/>
    <col min="6651" max="6651" width="16.6640625" style="659" customWidth="1"/>
    <col min="6652" max="6652" width="2.88671875" style="659" customWidth="1"/>
    <col min="6653" max="6653" width="6.5546875" style="659" customWidth="1"/>
    <col min="6654" max="6654" width="2.88671875" style="659" customWidth="1"/>
    <col min="6655" max="6655" width="26.109375" style="659" customWidth="1"/>
    <col min="6656" max="6656" width="2.88671875" style="659" customWidth="1"/>
    <col min="6657" max="6657" width="10.88671875" style="659" customWidth="1"/>
    <col min="6658" max="6658" width="2.88671875" style="659" customWidth="1"/>
    <col min="6659" max="6659" width="8" style="659" customWidth="1"/>
    <col min="6660" max="6660" width="2.88671875" style="659" customWidth="1"/>
    <col min="6661" max="6661" width="10.88671875" style="659" customWidth="1"/>
    <col min="6662" max="6662" width="2.88671875" style="659" customWidth="1"/>
    <col min="6663" max="6663" width="4.44140625" style="659" customWidth="1"/>
    <col min="6664" max="6664" width="2.88671875" style="659" customWidth="1"/>
    <col min="6665" max="6665" width="11.5546875" style="659" customWidth="1"/>
    <col min="6666" max="6904" width="7" style="659"/>
    <col min="6905" max="6905" width="4.44140625" style="659" customWidth="1"/>
    <col min="6906" max="6906" width="2.88671875" style="659" customWidth="1"/>
    <col min="6907" max="6907" width="16.6640625" style="659" customWidth="1"/>
    <col min="6908" max="6908" width="2.88671875" style="659" customWidth="1"/>
    <col min="6909" max="6909" width="6.5546875" style="659" customWidth="1"/>
    <col min="6910" max="6910" width="2.88671875" style="659" customWidth="1"/>
    <col min="6911" max="6911" width="26.109375" style="659" customWidth="1"/>
    <col min="6912" max="6912" width="2.88671875" style="659" customWidth="1"/>
    <col min="6913" max="6913" width="10.88671875" style="659" customWidth="1"/>
    <col min="6914" max="6914" width="2.88671875" style="659" customWidth="1"/>
    <col min="6915" max="6915" width="8" style="659" customWidth="1"/>
    <col min="6916" max="6916" width="2.88671875" style="659" customWidth="1"/>
    <col min="6917" max="6917" width="10.88671875" style="659" customWidth="1"/>
    <col min="6918" max="6918" width="2.88671875" style="659" customWidth="1"/>
    <col min="6919" max="6919" width="4.44140625" style="659" customWidth="1"/>
    <col min="6920" max="6920" width="2.88671875" style="659" customWidth="1"/>
    <col min="6921" max="6921" width="11.5546875" style="659" customWidth="1"/>
    <col min="6922" max="7160" width="7" style="659"/>
    <col min="7161" max="7161" width="4.44140625" style="659" customWidth="1"/>
    <col min="7162" max="7162" width="2.88671875" style="659" customWidth="1"/>
    <col min="7163" max="7163" width="16.6640625" style="659" customWidth="1"/>
    <col min="7164" max="7164" width="2.88671875" style="659" customWidth="1"/>
    <col min="7165" max="7165" width="6.5546875" style="659" customWidth="1"/>
    <col min="7166" max="7166" width="2.88671875" style="659" customWidth="1"/>
    <col min="7167" max="7167" width="26.109375" style="659" customWidth="1"/>
    <col min="7168" max="7168" width="2.88671875" style="659" customWidth="1"/>
    <col min="7169" max="7169" width="10.88671875" style="659" customWidth="1"/>
    <col min="7170" max="7170" width="2.88671875" style="659" customWidth="1"/>
    <col min="7171" max="7171" width="8" style="659" customWidth="1"/>
    <col min="7172" max="7172" width="2.88671875" style="659" customWidth="1"/>
    <col min="7173" max="7173" width="10.88671875" style="659" customWidth="1"/>
    <col min="7174" max="7174" width="2.88671875" style="659" customWidth="1"/>
    <col min="7175" max="7175" width="4.44140625" style="659" customWidth="1"/>
    <col min="7176" max="7176" width="2.88671875" style="659" customWidth="1"/>
    <col min="7177" max="7177" width="11.5546875" style="659" customWidth="1"/>
    <col min="7178" max="7416" width="7" style="659"/>
    <col min="7417" max="7417" width="4.44140625" style="659" customWidth="1"/>
    <col min="7418" max="7418" width="2.88671875" style="659" customWidth="1"/>
    <col min="7419" max="7419" width="16.6640625" style="659" customWidth="1"/>
    <col min="7420" max="7420" width="2.88671875" style="659" customWidth="1"/>
    <col min="7421" max="7421" width="6.5546875" style="659" customWidth="1"/>
    <col min="7422" max="7422" width="2.88671875" style="659" customWidth="1"/>
    <col min="7423" max="7423" width="26.109375" style="659" customWidth="1"/>
    <col min="7424" max="7424" width="2.88671875" style="659" customWidth="1"/>
    <col min="7425" max="7425" width="10.88671875" style="659" customWidth="1"/>
    <col min="7426" max="7426" width="2.88671875" style="659" customWidth="1"/>
    <col min="7427" max="7427" width="8" style="659" customWidth="1"/>
    <col min="7428" max="7428" width="2.88671875" style="659" customWidth="1"/>
    <col min="7429" max="7429" width="10.88671875" style="659" customWidth="1"/>
    <col min="7430" max="7430" width="2.88671875" style="659" customWidth="1"/>
    <col min="7431" max="7431" width="4.44140625" style="659" customWidth="1"/>
    <col min="7432" max="7432" width="2.88671875" style="659" customWidth="1"/>
    <col min="7433" max="7433" width="11.5546875" style="659" customWidth="1"/>
    <col min="7434" max="7672" width="7" style="659"/>
    <col min="7673" max="7673" width="4.44140625" style="659" customWidth="1"/>
    <col min="7674" max="7674" width="2.88671875" style="659" customWidth="1"/>
    <col min="7675" max="7675" width="16.6640625" style="659" customWidth="1"/>
    <col min="7676" max="7676" width="2.88671875" style="659" customWidth="1"/>
    <col min="7677" max="7677" width="6.5546875" style="659" customWidth="1"/>
    <col min="7678" max="7678" width="2.88671875" style="659" customWidth="1"/>
    <col min="7679" max="7679" width="26.109375" style="659" customWidth="1"/>
    <col min="7680" max="7680" width="2.88671875" style="659" customWidth="1"/>
    <col min="7681" max="7681" width="10.88671875" style="659" customWidth="1"/>
    <col min="7682" max="7682" width="2.88671875" style="659" customWidth="1"/>
    <col min="7683" max="7683" width="8" style="659" customWidth="1"/>
    <col min="7684" max="7684" width="2.88671875" style="659" customWidth="1"/>
    <col min="7685" max="7685" width="10.88671875" style="659" customWidth="1"/>
    <col min="7686" max="7686" width="2.88671875" style="659" customWidth="1"/>
    <col min="7687" max="7687" width="4.44140625" style="659" customWidth="1"/>
    <col min="7688" max="7688" width="2.88671875" style="659" customWidth="1"/>
    <col min="7689" max="7689" width="11.5546875" style="659" customWidth="1"/>
    <col min="7690" max="7928" width="7" style="659"/>
    <col min="7929" max="7929" width="4.44140625" style="659" customWidth="1"/>
    <col min="7930" max="7930" width="2.88671875" style="659" customWidth="1"/>
    <col min="7931" max="7931" width="16.6640625" style="659" customWidth="1"/>
    <col min="7932" max="7932" width="2.88671875" style="659" customWidth="1"/>
    <col min="7933" max="7933" width="6.5546875" style="659" customWidth="1"/>
    <col min="7934" max="7934" width="2.88671875" style="659" customWidth="1"/>
    <col min="7935" max="7935" width="26.109375" style="659" customWidth="1"/>
    <col min="7936" max="7936" width="2.88671875" style="659" customWidth="1"/>
    <col min="7937" max="7937" width="10.88671875" style="659" customWidth="1"/>
    <col min="7938" max="7938" width="2.88671875" style="659" customWidth="1"/>
    <col min="7939" max="7939" width="8" style="659" customWidth="1"/>
    <col min="7940" max="7940" width="2.88671875" style="659" customWidth="1"/>
    <col min="7941" max="7941" width="10.88671875" style="659" customWidth="1"/>
    <col min="7942" max="7942" width="2.88671875" style="659" customWidth="1"/>
    <col min="7943" max="7943" width="4.44140625" style="659" customWidth="1"/>
    <col min="7944" max="7944" width="2.88671875" style="659" customWidth="1"/>
    <col min="7945" max="7945" width="11.5546875" style="659" customWidth="1"/>
    <col min="7946" max="8184" width="7" style="659"/>
    <col min="8185" max="8185" width="4.44140625" style="659" customWidth="1"/>
    <col min="8186" max="8186" width="2.88671875" style="659" customWidth="1"/>
    <col min="8187" max="8187" width="16.6640625" style="659" customWidth="1"/>
    <col min="8188" max="8188" width="2.88671875" style="659" customWidth="1"/>
    <col min="8189" max="8189" width="6.5546875" style="659" customWidth="1"/>
    <col min="8190" max="8190" width="2.88671875" style="659" customWidth="1"/>
    <col min="8191" max="8191" width="26.109375" style="659" customWidth="1"/>
    <col min="8192" max="8192" width="2.88671875" style="659" customWidth="1"/>
    <col min="8193" max="8193" width="10.88671875" style="659" customWidth="1"/>
    <col min="8194" max="8194" width="2.88671875" style="659" customWidth="1"/>
    <col min="8195" max="8195" width="8" style="659" customWidth="1"/>
    <col min="8196" max="8196" width="2.88671875" style="659" customWidth="1"/>
    <col min="8197" max="8197" width="10.88671875" style="659" customWidth="1"/>
    <col min="8198" max="8198" width="2.88671875" style="659" customWidth="1"/>
    <col min="8199" max="8199" width="4.44140625" style="659" customWidth="1"/>
    <col min="8200" max="8200" width="2.88671875" style="659" customWidth="1"/>
    <col min="8201" max="8201" width="11.5546875" style="659" customWidth="1"/>
    <col min="8202" max="8440" width="7" style="659"/>
    <col min="8441" max="8441" width="4.44140625" style="659" customWidth="1"/>
    <col min="8442" max="8442" width="2.88671875" style="659" customWidth="1"/>
    <col min="8443" max="8443" width="16.6640625" style="659" customWidth="1"/>
    <col min="8444" max="8444" width="2.88671875" style="659" customWidth="1"/>
    <col min="8445" max="8445" width="6.5546875" style="659" customWidth="1"/>
    <col min="8446" max="8446" width="2.88671875" style="659" customWidth="1"/>
    <col min="8447" max="8447" width="26.109375" style="659" customWidth="1"/>
    <col min="8448" max="8448" width="2.88671875" style="659" customWidth="1"/>
    <col min="8449" max="8449" width="10.88671875" style="659" customWidth="1"/>
    <col min="8450" max="8450" width="2.88671875" style="659" customWidth="1"/>
    <col min="8451" max="8451" width="8" style="659" customWidth="1"/>
    <col min="8452" max="8452" width="2.88671875" style="659" customWidth="1"/>
    <col min="8453" max="8453" width="10.88671875" style="659" customWidth="1"/>
    <col min="8454" max="8454" width="2.88671875" style="659" customWidth="1"/>
    <col min="8455" max="8455" width="4.44140625" style="659" customWidth="1"/>
    <col min="8456" max="8456" width="2.88671875" style="659" customWidth="1"/>
    <col min="8457" max="8457" width="11.5546875" style="659" customWidth="1"/>
    <col min="8458" max="8696" width="7" style="659"/>
    <col min="8697" max="8697" width="4.44140625" style="659" customWidth="1"/>
    <col min="8698" max="8698" width="2.88671875" style="659" customWidth="1"/>
    <col min="8699" max="8699" width="16.6640625" style="659" customWidth="1"/>
    <col min="8700" max="8700" width="2.88671875" style="659" customWidth="1"/>
    <col min="8701" max="8701" width="6.5546875" style="659" customWidth="1"/>
    <col min="8702" max="8702" width="2.88671875" style="659" customWidth="1"/>
    <col min="8703" max="8703" width="26.109375" style="659" customWidth="1"/>
    <col min="8704" max="8704" width="2.88671875" style="659" customWidth="1"/>
    <col min="8705" max="8705" width="10.88671875" style="659" customWidth="1"/>
    <col min="8706" max="8706" width="2.88671875" style="659" customWidth="1"/>
    <col min="8707" max="8707" width="8" style="659" customWidth="1"/>
    <col min="8708" max="8708" width="2.88671875" style="659" customWidth="1"/>
    <col min="8709" max="8709" width="10.88671875" style="659" customWidth="1"/>
    <col min="8710" max="8710" width="2.88671875" style="659" customWidth="1"/>
    <col min="8711" max="8711" width="4.44140625" style="659" customWidth="1"/>
    <col min="8712" max="8712" width="2.88671875" style="659" customWidth="1"/>
    <col min="8713" max="8713" width="11.5546875" style="659" customWidth="1"/>
    <col min="8714" max="8952" width="7" style="659"/>
    <col min="8953" max="8953" width="4.44140625" style="659" customWidth="1"/>
    <col min="8954" max="8954" width="2.88671875" style="659" customWidth="1"/>
    <col min="8955" max="8955" width="16.6640625" style="659" customWidth="1"/>
    <col min="8956" max="8956" width="2.88671875" style="659" customWidth="1"/>
    <col min="8957" max="8957" width="6.5546875" style="659" customWidth="1"/>
    <col min="8958" max="8958" width="2.88671875" style="659" customWidth="1"/>
    <col min="8959" max="8959" width="26.109375" style="659" customWidth="1"/>
    <col min="8960" max="8960" width="2.88671875" style="659" customWidth="1"/>
    <col min="8961" max="8961" width="10.88671875" style="659" customWidth="1"/>
    <col min="8962" max="8962" width="2.88671875" style="659" customWidth="1"/>
    <col min="8963" max="8963" width="8" style="659" customWidth="1"/>
    <col min="8964" max="8964" width="2.88671875" style="659" customWidth="1"/>
    <col min="8965" max="8965" width="10.88671875" style="659" customWidth="1"/>
    <col min="8966" max="8966" width="2.88671875" style="659" customWidth="1"/>
    <col min="8967" max="8967" width="4.44140625" style="659" customWidth="1"/>
    <col min="8968" max="8968" width="2.88671875" style="659" customWidth="1"/>
    <col min="8969" max="8969" width="11.5546875" style="659" customWidth="1"/>
    <col min="8970" max="9208" width="7" style="659"/>
    <col min="9209" max="9209" width="4.44140625" style="659" customWidth="1"/>
    <col min="9210" max="9210" width="2.88671875" style="659" customWidth="1"/>
    <col min="9211" max="9211" width="16.6640625" style="659" customWidth="1"/>
    <col min="9212" max="9212" width="2.88671875" style="659" customWidth="1"/>
    <col min="9213" max="9213" width="6.5546875" style="659" customWidth="1"/>
    <col min="9214" max="9214" width="2.88671875" style="659" customWidth="1"/>
    <col min="9215" max="9215" width="26.109375" style="659" customWidth="1"/>
    <col min="9216" max="9216" width="2.88671875" style="659" customWidth="1"/>
    <col min="9217" max="9217" width="10.88671875" style="659" customWidth="1"/>
    <col min="9218" max="9218" width="2.88671875" style="659" customWidth="1"/>
    <col min="9219" max="9219" width="8" style="659" customWidth="1"/>
    <col min="9220" max="9220" width="2.88671875" style="659" customWidth="1"/>
    <col min="9221" max="9221" width="10.88671875" style="659" customWidth="1"/>
    <col min="9222" max="9222" width="2.88671875" style="659" customWidth="1"/>
    <col min="9223" max="9223" width="4.44140625" style="659" customWidth="1"/>
    <col min="9224" max="9224" width="2.88671875" style="659" customWidth="1"/>
    <col min="9225" max="9225" width="11.5546875" style="659" customWidth="1"/>
    <col min="9226" max="9464" width="7" style="659"/>
    <col min="9465" max="9465" width="4.44140625" style="659" customWidth="1"/>
    <col min="9466" max="9466" width="2.88671875" style="659" customWidth="1"/>
    <col min="9467" max="9467" width="16.6640625" style="659" customWidth="1"/>
    <col min="9468" max="9468" width="2.88671875" style="659" customWidth="1"/>
    <col min="9469" max="9469" width="6.5546875" style="659" customWidth="1"/>
    <col min="9470" max="9470" width="2.88671875" style="659" customWidth="1"/>
    <col min="9471" max="9471" width="26.109375" style="659" customWidth="1"/>
    <col min="9472" max="9472" width="2.88671875" style="659" customWidth="1"/>
    <col min="9473" max="9473" width="10.88671875" style="659" customWidth="1"/>
    <col min="9474" max="9474" width="2.88671875" style="659" customWidth="1"/>
    <col min="9475" max="9475" width="8" style="659" customWidth="1"/>
    <col min="9476" max="9476" width="2.88671875" style="659" customWidth="1"/>
    <col min="9477" max="9477" width="10.88671875" style="659" customWidth="1"/>
    <col min="9478" max="9478" width="2.88671875" style="659" customWidth="1"/>
    <col min="9479" max="9479" width="4.44140625" style="659" customWidth="1"/>
    <col min="9480" max="9480" width="2.88671875" style="659" customWidth="1"/>
    <col min="9481" max="9481" width="11.5546875" style="659" customWidth="1"/>
    <col min="9482" max="9720" width="7" style="659"/>
    <col min="9721" max="9721" width="4.44140625" style="659" customWidth="1"/>
    <col min="9722" max="9722" width="2.88671875" style="659" customWidth="1"/>
    <col min="9723" max="9723" width="16.6640625" style="659" customWidth="1"/>
    <col min="9724" max="9724" width="2.88671875" style="659" customWidth="1"/>
    <col min="9725" max="9725" width="6.5546875" style="659" customWidth="1"/>
    <col min="9726" max="9726" width="2.88671875" style="659" customWidth="1"/>
    <col min="9727" max="9727" width="26.109375" style="659" customWidth="1"/>
    <col min="9728" max="9728" width="2.88671875" style="659" customWidth="1"/>
    <col min="9729" max="9729" width="10.88671875" style="659" customWidth="1"/>
    <col min="9730" max="9730" width="2.88671875" style="659" customWidth="1"/>
    <col min="9731" max="9731" width="8" style="659" customWidth="1"/>
    <col min="9732" max="9732" width="2.88671875" style="659" customWidth="1"/>
    <col min="9733" max="9733" width="10.88671875" style="659" customWidth="1"/>
    <col min="9734" max="9734" width="2.88671875" style="659" customWidth="1"/>
    <col min="9735" max="9735" width="4.44140625" style="659" customWidth="1"/>
    <col min="9736" max="9736" width="2.88671875" style="659" customWidth="1"/>
    <col min="9737" max="9737" width="11.5546875" style="659" customWidth="1"/>
    <col min="9738" max="9976" width="7" style="659"/>
    <col min="9977" max="9977" width="4.44140625" style="659" customWidth="1"/>
    <col min="9978" max="9978" width="2.88671875" style="659" customWidth="1"/>
    <col min="9979" max="9979" width="16.6640625" style="659" customWidth="1"/>
    <col min="9980" max="9980" width="2.88671875" style="659" customWidth="1"/>
    <col min="9981" max="9981" width="6.5546875" style="659" customWidth="1"/>
    <col min="9982" max="9982" width="2.88671875" style="659" customWidth="1"/>
    <col min="9983" max="9983" width="26.109375" style="659" customWidth="1"/>
    <col min="9984" max="9984" width="2.88671875" style="659" customWidth="1"/>
    <col min="9985" max="9985" width="10.88671875" style="659" customWidth="1"/>
    <col min="9986" max="9986" width="2.88671875" style="659" customWidth="1"/>
    <col min="9987" max="9987" width="8" style="659" customWidth="1"/>
    <col min="9988" max="9988" width="2.88671875" style="659" customWidth="1"/>
    <col min="9989" max="9989" width="10.88671875" style="659" customWidth="1"/>
    <col min="9990" max="9990" width="2.88671875" style="659" customWidth="1"/>
    <col min="9991" max="9991" width="4.44140625" style="659" customWidth="1"/>
    <col min="9992" max="9992" width="2.88671875" style="659" customWidth="1"/>
    <col min="9993" max="9993" width="11.5546875" style="659" customWidth="1"/>
    <col min="9994" max="10232" width="7" style="659"/>
    <col min="10233" max="10233" width="4.44140625" style="659" customWidth="1"/>
    <col min="10234" max="10234" width="2.88671875" style="659" customWidth="1"/>
    <col min="10235" max="10235" width="16.6640625" style="659" customWidth="1"/>
    <col min="10236" max="10236" width="2.88671875" style="659" customWidth="1"/>
    <col min="10237" max="10237" width="6.5546875" style="659" customWidth="1"/>
    <col min="10238" max="10238" width="2.88671875" style="659" customWidth="1"/>
    <col min="10239" max="10239" width="26.109375" style="659" customWidth="1"/>
    <col min="10240" max="10240" width="2.88671875" style="659" customWidth="1"/>
    <col min="10241" max="10241" width="10.88671875" style="659" customWidth="1"/>
    <col min="10242" max="10242" width="2.88671875" style="659" customWidth="1"/>
    <col min="10243" max="10243" width="8" style="659" customWidth="1"/>
    <col min="10244" max="10244" width="2.88671875" style="659" customWidth="1"/>
    <col min="10245" max="10245" width="10.88671875" style="659" customWidth="1"/>
    <col min="10246" max="10246" width="2.88671875" style="659" customWidth="1"/>
    <col min="10247" max="10247" width="4.44140625" style="659" customWidth="1"/>
    <col min="10248" max="10248" width="2.88671875" style="659" customWidth="1"/>
    <col min="10249" max="10249" width="11.5546875" style="659" customWidth="1"/>
    <col min="10250" max="10488" width="7" style="659"/>
    <col min="10489" max="10489" width="4.44140625" style="659" customWidth="1"/>
    <col min="10490" max="10490" width="2.88671875" style="659" customWidth="1"/>
    <col min="10491" max="10491" width="16.6640625" style="659" customWidth="1"/>
    <col min="10492" max="10492" width="2.88671875" style="659" customWidth="1"/>
    <col min="10493" max="10493" width="6.5546875" style="659" customWidth="1"/>
    <col min="10494" max="10494" width="2.88671875" style="659" customWidth="1"/>
    <col min="10495" max="10495" width="26.109375" style="659" customWidth="1"/>
    <col min="10496" max="10496" width="2.88671875" style="659" customWidth="1"/>
    <col min="10497" max="10497" width="10.88671875" style="659" customWidth="1"/>
    <col min="10498" max="10498" width="2.88671875" style="659" customWidth="1"/>
    <col min="10499" max="10499" width="8" style="659" customWidth="1"/>
    <col min="10500" max="10500" width="2.88671875" style="659" customWidth="1"/>
    <col min="10501" max="10501" width="10.88671875" style="659" customWidth="1"/>
    <col min="10502" max="10502" width="2.88671875" style="659" customWidth="1"/>
    <col min="10503" max="10503" width="4.44140625" style="659" customWidth="1"/>
    <col min="10504" max="10504" width="2.88671875" style="659" customWidth="1"/>
    <col min="10505" max="10505" width="11.5546875" style="659" customWidth="1"/>
    <col min="10506" max="10744" width="7" style="659"/>
    <col min="10745" max="10745" width="4.44140625" style="659" customWidth="1"/>
    <col min="10746" max="10746" width="2.88671875" style="659" customWidth="1"/>
    <col min="10747" max="10747" width="16.6640625" style="659" customWidth="1"/>
    <col min="10748" max="10748" width="2.88671875" style="659" customWidth="1"/>
    <col min="10749" max="10749" width="6.5546875" style="659" customWidth="1"/>
    <col min="10750" max="10750" width="2.88671875" style="659" customWidth="1"/>
    <col min="10751" max="10751" width="26.109375" style="659" customWidth="1"/>
    <col min="10752" max="10752" width="2.88671875" style="659" customWidth="1"/>
    <col min="10753" max="10753" width="10.88671875" style="659" customWidth="1"/>
    <col min="10754" max="10754" width="2.88671875" style="659" customWidth="1"/>
    <col min="10755" max="10755" width="8" style="659" customWidth="1"/>
    <col min="10756" max="10756" width="2.88671875" style="659" customWidth="1"/>
    <col min="10757" max="10757" width="10.88671875" style="659" customWidth="1"/>
    <col min="10758" max="10758" width="2.88671875" style="659" customWidth="1"/>
    <col min="10759" max="10759" width="4.44140625" style="659" customWidth="1"/>
    <col min="10760" max="10760" width="2.88671875" style="659" customWidth="1"/>
    <col min="10761" max="10761" width="11.5546875" style="659" customWidth="1"/>
    <col min="10762" max="11000" width="7" style="659"/>
    <col min="11001" max="11001" width="4.44140625" style="659" customWidth="1"/>
    <col min="11002" max="11002" width="2.88671875" style="659" customWidth="1"/>
    <col min="11003" max="11003" width="16.6640625" style="659" customWidth="1"/>
    <col min="11004" max="11004" width="2.88671875" style="659" customWidth="1"/>
    <col min="11005" max="11005" width="6.5546875" style="659" customWidth="1"/>
    <col min="11006" max="11006" width="2.88671875" style="659" customWidth="1"/>
    <col min="11007" max="11007" width="26.109375" style="659" customWidth="1"/>
    <col min="11008" max="11008" width="2.88671875" style="659" customWidth="1"/>
    <col min="11009" max="11009" width="10.88671875" style="659" customWidth="1"/>
    <col min="11010" max="11010" width="2.88671875" style="659" customWidth="1"/>
    <col min="11011" max="11011" width="8" style="659" customWidth="1"/>
    <col min="11012" max="11012" width="2.88671875" style="659" customWidth="1"/>
    <col min="11013" max="11013" width="10.88671875" style="659" customWidth="1"/>
    <col min="11014" max="11014" width="2.88671875" style="659" customWidth="1"/>
    <col min="11015" max="11015" width="4.44140625" style="659" customWidth="1"/>
    <col min="11016" max="11016" width="2.88671875" style="659" customWidth="1"/>
    <col min="11017" max="11017" width="11.5546875" style="659" customWidth="1"/>
    <col min="11018" max="11256" width="7" style="659"/>
    <col min="11257" max="11257" width="4.44140625" style="659" customWidth="1"/>
    <col min="11258" max="11258" width="2.88671875" style="659" customWidth="1"/>
    <col min="11259" max="11259" width="16.6640625" style="659" customWidth="1"/>
    <col min="11260" max="11260" width="2.88671875" style="659" customWidth="1"/>
    <col min="11261" max="11261" width="6.5546875" style="659" customWidth="1"/>
    <col min="11262" max="11262" width="2.88671875" style="659" customWidth="1"/>
    <col min="11263" max="11263" width="26.109375" style="659" customWidth="1"/>
    <col min="11264" max="11264" width="2.88671875" style="659" customWidth="1"/>
    <col min="11265" max="11265" width="10.88671875" style="659" customWidth="1"/>
    <col min="11266" max="11266" width="2.88671875" style="659" customWidth="1"/>
    <col min="11267" max="11267" width="8" style="659" customWidth="1"/>
    <col min="11268" max="11268" width="2.88671875" style="659" customWidth="1"/>
    <col min="11269" max="11269" width="10.88671875" style="659" customWidth="1"/>
    <col min="11270" max="11270" width="2.88671875" style="659" customWidth="1"/>
    <col min="11271" max="11271" width="4.44140625" style="659" customWidth="1"/>
    <col min="11272" max="11272" width="2.88671875" style="659" customWidth="1"/>
    <col min="11273" max="11273" width="11.5546875" style="659" customWidth="1"/>
    <col min="11274" max="11512" width="7" style="659"/>
    <col min="11513" max="11513" width="4.44140625" style="659" customWidth="1"/>
    <col min="11514" max="11514" width="2.88671875" style="659" customWidth="1"/>
    <col min="11515" max="11515" width="16.6640625" style="659" customWidth="1"/>
    <col min="11516" max="11516" width="2.88671875" style="659" customWidth="1"/>
    <col min="11517" max="11517" width="6.5546875" style="659" customWidth="1"/>
    <col min="11518" max="11518" width="2.88671875" style="659" customWidth="1"/>
    <col min="11519" max="11519" width="26.109375" style="659" customWidth="1"/>
    <col min="11520" max="11520" width="2.88671875" style="659" customWidth="1"/>
    <col min="11521" max="11521" width="10.88671875" style="659" customWidth="1"/>
    <col min="11522" max="11522" width="2.88671875" style="659" customWidth="1"/>
    <col min="11523" max="11523" width="8" style="659" customWidth="1"/>
    <col min="11524" max="11524" width="2.88671875" style="659" customWidth="1"/>
    <col min="11525" max="11525" width="10.88671875" style="659" customWidth="1"/>
    <col min="11526" max="11526" width="2.88671875" style="659" customWidth="1"/>
    <col min="11527" max="11527" width="4.44140625" style="659" customWidth="1"/>
    <col min="11528" max="11528" width="2.88671875" style="659" customWidth="1"/>
    <col min="11529" max="11529" width="11.5546875" style="659" customWidth="1"/>
    <col min="11530" max="11768" width="7" style="659"/>
    <col min="11769" max="11769" width="4.44140625" style="659" customWidth="1"/>
    <col min="11770" max="11770" width="2.88671875" style="659" customWidth="1"/>
    <col min="11771" max="11771" width="16.6640625" style="659" customWidth="1"/>
    <col min="11772" max="11772" width="2.88671875" style="659" customWidth="1"/>
    <col min="11773" max="11773" width="6.5546875" style="659" customWidth="1"/>
    <col min="11774" max="11774" width="2.88671875" style="659" customWidth="1"/>
    <col min="11775" max="11775" width="26.109375" style="659" customWidth="1"/>
    <col min="11776" max="11776" width="2.88671875" style="659" customWidth="1"/>
    <col min="11777" max="11777" width="10.88671875" style="659" customWidth="1"/>
    <col min="11778" max="11778" width="2.88671875" style="659" customWidth="1"/>
    <col min="11779" max="11779" width="8" style="659" customWidth="1"/>
    <col min="11780" max="11780" width="2.88671875" style="659" customWidth="1"/>
    <col min="11781" max="11781" width="10.88671875" style="659" customWidth="1"/>
    <col min="11782" max="11782" width="2.88671875" style="659" customWidth="1"/>
    <col min="11783" max="11783" width="4.44140625" style="659" customWidth="1"/>
    <col min="11784" max="11784" width="2.88671875" style="659" customWidth="1"/>
    <col min="11785" max="11785" width="11.5546875" style="659" customWidth="1"/>
    <col min="11786" max="12024" width="7" style="659"/>
    <col min="12025" max="12025" width="4.44140625" style="659" customWidth="1"/>
    <col min="12026" max="12026" width="2.88671875" style="659" customWidth="1"/>
    <col min="12027" max="12027" width="16.6640625" style="659" customWidth="1"/>
    <col min="12028" max="12028" width="2.88671875" style="659" customWidth="1"/>
    <col min="12029" max="12029" width="6.5546875" style="659" customWidth="1"/>
    <col min="12030" max="12030" width="2.88671875" style="659" customWidth="1"/>
    <col min="12031" max="12031" width="26.109375" style="659" customWidth="1"/>
    <col min="12032" max="12032" width="2.88671875" style="659" customWidth="1"/>
    <col min="12033" max="12033" width="10.88671875" style="659" customWidth="1"/>
    <col min="12034" max="12034" width="2.88671875" style="659" customWidth="1"/>
    <col min="12035" max="12035" width="8" style="659" customWidth="1"/>
    <col min="12036" max="12036" width="2.88671875" style="659" customWidth="1"/>
    <col min="12037" max="12037" width="10.88671875" style="659" customWidth="1"/>
    <col min="12038" max="12038" width="2.88671875" style="659" customWidth="1"/>
    <col min="12039" max="12039" width="4.44140625" style="659" customWidth="1"/>
    <col min="12040" max="12040" width="2.88671875" style="659" customWidth="1"/>
    <col min="12041" max="12041" width="11.5546875" style="659" customWidth="1"/>
    <col min="12042" max="12280" width="7" style="659"/>
    <col min="12281" max="12281" width="4.44140625" style="659" customWidth="1"/>
    <col min="12282" max="12282" width="2.88671875" style="659" customWidth="1"/>
    <col min="12283" max="12283" width="16.6640625" style="659" customWidth="1"/>
    <col min="12284" max="12284" width="2.88671875" style="659" customWidth="1"/>
    <col min="12285" max="12285" width="6.5546875" style="659" customWidth="1"/>
    <col min="12286" max="12286" width="2.88671875" style="659" customWidth="1"/>
    <col min="12287" max="12287" width="26.109375" style="659" customWidth="1"/>
    <col min="12288" max="12288" width="2.88671875" style="659" customWidth="1"/>
    <col min="12289" max="12289" width="10.88671875" style="659" customWidth="1"/>
    <col min="12290" max="12290" width="2.88671875" style="659" customWidth="1"/>
    <col min="12291" max="12291" width="8" style="659" customWidth="1"/>
    <col min="12292" max="12292" width="2.88671875" style="659" customWidth="1"/>
    <col min="12293" max="12293" width="10.88671875" style="659" customWidth="1"/>
    <col min="12294" max="12294" width="2.88671875" style="659" customWidth="1"/>
    <col min="12295" max="12295" width="4.44140625" style="659" customWidth="1"/>
    <col min="12296" max="12296" width="2.88671875" style="659" customWidth="1"/>
    <col min="12297" max="12297" width="11.5546875" style="659" customWidth="1"/>
    <col min="12298" max="12536" width="7" style="659"/>
    <col min="12537" max="12537" width="4.44140625" style="659" customWidth="1"/>
    <col min="12538" max="12538" width="2.88671875" style="659" customWidth="1"/>
    <col min="12539" max="12539" width="16.6640625" style="659" customWidth="1"/>
    <col min="12540" max="12540" width="2.88671875" style="659" customWidth="1"/>
    <col min="12541" max="12541" width="6.5546875" style="659" customWidth="1"/>
    <col min="12542" max="12542" width="2.88671875" style="659" customWidth="1"/>
    <col min="12543" max="12543" width="26.109375" style="659" customWidth="1"/>
    <col min="12544" max="12544" width="2.88671875" style="659" customWidth="1"/>
    <col min="12545" max="12545" width="10.88671875" style="659" customWidth="1"/>
    <col min="12546" max="12546" width="2.88671875" style="659" customWidth="1"/>
    <col min="12547" max="12547" width="8" style="659" customWidth="1"/>
    <col min="12548" max="12548" width="2.88671875" style="659" customWidth="1"/>
    <col min="12549" max="12549" width="10.88671875" style="659" customWidth="1"/>
    <col min="12550" max="12550" width="2.88671875" style="659" customWidth="1"/>
    <col min="12551" max="12551" width="4.44140625" style="659" customWidth="1"/>
    <col min="12552" max="12552" width="2.88671875" style="659" customWidth="1"/>
    <col min="12553" max="12553" width="11.5546875" style="659" customWidth="1"/>
    <col min="12554" max="12792" width="7" style="659"/>
    <col min="12793" max="12793" width="4.44140625" style="659" customWidth="1"/>
    <col min="12794" max="12794" width="2.88671875" style="659" customWidth="1"/>
    <col min="12795" max="12795" width="16.6640625" style="659" customWidth="1"/>
    <col min="12796" max="12796" width="2.88671875" style="659" customWidth="1"/>
    <col min="12797" max="12797" width="6.5546875" style="659" customWidth="1"/>
    <col min="12798" max="12798" width="2.88671875" style="659" customWidth="1"/>
    <col min="12799" max="12799" width="26.109375" style="659" customWidth="1"/>
    <col min="12800" max="12800" width="2.88671875" style="659" customWidth="1"/>
    <col min="12801" max="12801" width="10.88671875" style="659" customWidth="1"/>
    <col min="12802" max="12802" width="2.88671875" style="659" customWidth="1"/>
    <col min="12803" max="12803" width="8" style="659" customWidth="1"/>
    <col min="12804" max="12804" width="2.88671875" style="659" customWidth="1"/>
    <col min="12805" max="12805" width="10.88671875" style="659" customWidth="1"/>
    <col min="12806" max="12806" width="2.88671875" style="659" customWidth="1"/>
    <col min="12807" max="12807" width="4.44140625" style="659" customWidth="1"/>
    <col min="12808" max="12808" width="2.88671875" style="659" customWidth="1"/>
    <col min="12809" max="12809" width="11.5546875" style="659" customWidth="1"/>
    <col min="12810" max="13048" width="7" style="659"/>
    <col min="13049" max="13049" width="4.44140625" style="659" customWidth="1"/>
    <col min="13050" max="13050" width="2.88671875" style="659" customWidth="1"/>
    <col min="13051" max="13051" width="16.6640625" style="659" customWidth="1"/>
    <col min="13052" max="13052" width="2.88671875" style="659" customWidth="1"/>
    <col min="13053" max="13053" width="6.5546875" style="659" customWidth="1"/>
    <col min="13054" max="13054" width="2.88671875" style="659" customWidth="1"/>
    <col min="13055" max="13055" width="26.109375" style="659" customWidth="1"/>
    <col min="13056" max="13056" width="2.88671875" style="659" customWidth="1"/>
    <col min="13057" max="13057" width="10.88671875" style="659" customWidth="1"/>
    <col min="13058" max="13058" width="2.88671875" style="659" customWidth="1"/>
    <col min="13059" max="13059" width="8" style="659" customWidth="1"/>
    <col min="13060" max="13060" width="2.88671875" style="659" customWidth="1"/>
    <col min="13061" max="13061" width="10.88671875" style="659" customWidth="1"/>
    <col min="13062" max="13062" width="2.88671875" style="659" customWidth="1"/>
    <col min="13063" max="13063" width="4.44140625" style="659" customWidth="1"/>
    <col min="13064" max="13064" width="2.88671875" style="659" customWidth="1"/>
    <col min="13065" max="13065" width="11.5546875" style="659" customWidth="1"/>
    <col min="13066" max="13304" width="7" style="659"/>
    <col min="13305" max="13305" width="4.44140625" style="659" customWidth="1"/>
    <col min="13306" max="13306" width="2.88671875" style="659" customWidth="1"/>
    <col min="13307" max="13307" width="16.6640625" style="659" customWidth="1"/>
    <col min="13308" max="13308" width="2.88671875" style="659" customWidth="1"/>
    <col min="13309" max="13309" width="6.5546875" style="659" customWidth="1"/>
    <col min="13310" max="13310" width="2.88671875" style="659" customWidth="1"/>
    <col min="13311" max="13311" width="26.109375" style="659" customWidth="1"/>
    <col min="13312" max="13312" width="2.88671875" style="659" customWidth="1"/>
    <col min="13313" max="13313" width="10.88671875" style="659" customWidth="1"/>
    <col min="13314" max="13314" width="2.88671875" style="659" customWidth="1"/>
    <col min="13315" max="13315" width="8" style="659" customWidth="1"/>
    <col min="13316" max="13316" width="2.88671875" style="659" customWidth="1"/>
    <col min="13317" max="13317" width="10.88671875" style="659" customWidth="1"/>
    <col min="13318" max="13318" width="2.88671875" style="659" customWidth="1"/>
    <col min="13319" max="13319" width="4.44140625" style="659" customWidth="1"/>
    <col min="13320" max="13320" width="2.88671875" style="659" customWidth="1"/>
    <col min="13321" max="13321" width="11.5546875" style="659" customWidth="1"/>
    <col min="13322" max="13560" width="7" style="659"/>
    <col min="13561" max="13561" width="4.44140625" style="659" customWidth="1"/>
    <col min="13562" max="13562" width="2.88671875" style="659" customWidth="1"/>
    <col min="13563" max="13563" width="16.6640625" style="659" customWidth="1"/>
    <col min="13564" max="13564" width="2.88671875" style="659" customWidth="1"/>
    <col min="13565" max="13565" width="6.5546875" style="659" customWidth="1"/>
    <col min="13566" max="13566" width="2.88671875" style="659" customWidth="1"/>
    <col min="13567" max="13567" width="26.109375" style="659" customWidth="1"/>
    <col min="13568" max="13568" width="2.88671875" style="659" customWidth="1"/>
    <col min="13569" max="13569" width="10.88671875" style="659" customWidth="1"/>
    <col min="13570" max="13570" width="2.88671875" style="659" customWidth="1"/>
    <col min="13571" max="13571" width="8" style="659" customWidth="1"/>
    <col min="13572" max="13572" width="2.88671875" style="659" customWidth="1"/>
    <col min="13573" max="13573" width="10.88671875" style="659" customWidth="1"/>
    <col min="13574" max="13574" width="2.88671875" style="659" customWidth="1"/>
    <col min="13575" max="13575" width="4.44140625" style="659" customWidth="1"/>
    <col min="13576" max="13576" width="2.88671875" style="659" customWidth="1"/>
    <col min="13577" max="13577" width="11.5546875" style="659" customWidth="1"/>
    <col min="13578" max="13816" width="7" style="659"/>
    <col min="13817" max="13817" width="4.44140625" style="659" customWidth="1"/>
    <col min="13818" max="13818" width="2.88671875" style="659" customWidth="1"/>
    <col min="13819" max="13819" width="16.6640625" style="659" customWidth="1"/>
    <col min="13820" max="13820" width="2.88671875" style="659" customWidth="1"/>
    <col min="13821" max="13821" width="6.5546875" style="659" customWidth="1"/>
    <col min="13822" max="13822" width="2.88671875" style="659" customWidth="1"/>
    <col min="13823" max="13823" width="26.109375" style="659" customWidth="1"/>
    <col min="13824" max="13824" width="2.88671875" style="659" customWidth="1"/>
    <col min="13825" max="13825" width="10.88671875" style="659" customWidth="1"/>
    <col min="13826" max="13826" width="2.88671875" style="659" customWidth="1"/>
    <col min="13827" max="13827" width="8" style="659" customWidth="1"/>
    <col min="13828" max="13828" width="2.88671875" style="659" customWidth="1"/>
    <col min="13829" max="13829" width="10.88671875" style="659" customWidth="1"/>
    <col min="13830" max="13830" width="2.88671875" style="659" customWidth="1"/>
    <col min="13831" max="13831" width="4.44140625" style="659" customWidth="1"/>
    <col min="13832" max="13832" width="2.88671875" style="659" customWidth="1"/>
    <col min="13833" max="13833" width="11.5546875" style="659" customWidth="1"/>
    <col min="13834" max="14072" width="7" style="659"/>
    <col min="14073" max="14073" width="4.44140625" style="659" customWidth="1"/>
    <col min="14074" max="14074" width="2.88671875" style="659" customWidth="1"/>
    <col min="14075" max="14075" width="16.6640625" style="659" customWidth="1"/>
    <col min="14076" max="14076" width="2.88671875" style="659" customWidth="1"/>
    <col min="14077" max="14077" width="6.5546875" style="659" customWidth="1"/>
    <col min="14078" max="14078" width="2.88671875" style="659" customWidth="1"/>
    <col min="14079" max="14079" width="26.109375" style="659" customWidth="1"/>
    <col min="14080" max="14080" width="2.88671875" style="659" customWidth="1"/>
    <col min="14081" max="14081" width="10.88671875" style="659" customWidth="1"/>
    <col min="14082" max="14082" width="2.88671875" style="659" customWidth="1"/>
    <col min="14083" max="14083" width="8" style="659" customWidth="1"/>
    <col min="14084" max="14084" width="2.88671875" style="659" customWidth="1"/>
    <col min="14085" max="14085" width="10.88671875" style="659" customWidth="1"/>
    <col min="14086" max="14086" width="2.88671875" style="659" customWidth="1"/>
    <col min="14087" max="14087" width="4.44140625" style="659" customWidth="1"/>
    <col min="14088" max="14088" width="2.88671875" style="659" customWidth="1"/>
    <col min="14089" max="14089" width="11.5546875" style="659" customWidth="1"/>
    <col min="14090" max="14328" width="7" style="659"/>
    <col min="14329" max="14329" width="4.44140625" style="659" customWidth="1"/>
    <col min="14330" max="14330" width="2.88671875" style="659" customWidth="1"/>
    <col min="14331" max="14331" width="16.6640625" style="659" customWidth="1"/>
    <col min="14332" max="14332" width="2.88671875" style="659" customWidth="1"/>
    <col min="14333" max="14333" width="6.5546875" style="659" customWidth="1"/>
    <col min="14334" max="14334" width="2.88671875" style="659" customWidth="1"/>
    <col min="14335" max="14335" width="26.109375" style="659" customWidth="1"/>
    <col min="14336" max="14336" width="2.88671875" style="659" customWidth="1"/>
    <col min="14337" max="14337" width="10.88671875" style="659" customWidth="1"/>
    <col min="14338" max="14338" width="2.88671875" style="659" customWidth="1"/>
    <col min="14339" max="14339" width="8" style="659" customWidth="1"/>
    <col min="14340" max="14340" width="2.88671875" style="659" customWidth="1"/>
    <col min="14341" max="14341" width="10.88671875" style="659" customWidth="1"/>
    <col min="14342" max="14342" width="2.88671875" style="659" customWidth="1"/>
    <col min="14343" max="14343" width="4.44140625" style="659" customWidth="1"/>
    <col min="14344" max="14344" width="2.88671875" style="659" customWidth="1"/>
    <col min="14345" max="14345" width="11.5546875" style="659" customWidth="1"/>
    <col min="14346" max="14584" width="7" style="659"/>
    <col min="14585" max="14585" width="4.44140625" style="659" customWidth="1"/>
    <col min="14586" max="14586" width="2.88671875" style="659" customWidth="1"/>
    <col min="14587" max="14587" width="16.6640625" style="659" customWidth="1"/>
    <col min="14588" max="14588" width="2.88671875" style="659" customWidth="1"/>
    <col min="14589" max="14589" width="6.5546875" style="659" customWidth="1"/>
    <col min="14590" max="14590" width="2.88671875" style="659" customWidth="1"/>
    <col min="14591" max="14591" width="26.109375" style="659" customWidth="1"/>
    <col min="14592" max="14592" width="2.88671875" style="659" customWidth="1"/>
    <col min="14593" max="14593" width="10.88671875" style="659" customWidth="1"/>
    <col min="14594" max="14594" width="2.88671875" style="659" customWidth="1"/>
    <col min="14595" max="14595" width="8" style="659" customWidth="1"/>
    <col min="14596" max="14596" width="2.88671875" style="659" customWidth="1"/>
    <col min="14597" max="14597" width="10.88671875" style="659" customWidth="1"/>
    <col min="14598" max="14598" width="2.88671875" style="659" customWidth="1"/>
    <col min="14599" max="14599" width="4.44140625" style="659" customWidth="1"/>
    <col min="14600" max="14600" width="2.88671875" style="659" customWidth="1"/>
    <col min="14601" max="14601" width="11.5546875" style="659" customWidth="1"/>
    <col min="14602" max="14840" width="7" style="659"/>
    <col min="14841" max="14841" width="4.44140625" style="659" customWidth="1"/>
    <col min="14842" max="14842" width="2.88671875" style="659" customWidth="1"/>
    <col min="14843" max="14843" width="16.6640625" style="659" customWidth="1"/>
    <col min="14844" max="14844" width="2.88671875" style="659" customWidth="1"/>
    <col min="14845" max="14845" width="6.5546875" style="659" customWidth="1"/>
    <col min="14846" max="14846" width="2.88671875" style="659" customWidth="1"/>
    <col min="14847" max="14847" width="26.109375" style="659" customWidth="1"/>
    <col min="14848" max="14848" width="2.88671875" style="659" customWidth="1"/>
    <col min="14849" max="14849" width="10.88671875" style="659" customWidth="1"/>
    <col min="14850" max="14850" width="2.88671875" style="659" customWidth="1"/>
    <col min="14851" max="14851" width="8" style="659" customWidth="1"/>
    <col min="14852" max="14852" width="2.88671875" style="659" customWidth="1"/>
    <col min="14853" max="14853" width="10.88671875" style="659" customWidth="1"/>
    <col min="14854" max="14854" width="2.88671875" style="659" customWidth="1"/>
    <col min="14855" max="14855" width="4.44140625" style="659" customWidth="1"/>
    <col min="14856" max="14856" width="2.88671875" style="659" customWidth="1"/>
    <col min="14857" max="14857" width="11.5546875" style="659" customWidth="1"/>
    <col min="14858" max="15096" width="7" style="659"/>
    <col min="15097" max="15097" width="4.44140625" style="659" customWidth="1"/>
    <col min="15098" max="15098" width="2.88671875" style="659" customWidth="1"/>
    <col min="15099" max="15099" width="16.6640625" style="659" customWidth="1"/>
    <col min="15100" max="15100" width="2.88671875" style="659" customWidth="1"/>
    <col min="15101" max="15101" width="6.5546875" style="659" customWidth="1"/>
    <col min="15102" max="15102" width="2.88671875" style="659" customWidth="1"/>
    <col min="15103" max="15103" width="26.109375" style="659" customWidth="1"/>
    <col min="15104" max="15104" width="2.88671875" style="659" customWidth="1"/>
    <col min="15105" max="15105" width="10.88671875" style="659" customWidth="1"/>
    <col min="15106" max="15106" width="2.88671875" style="659" customWidth="1"/>
    <col min="15107" max="15107" width="8" style="659" customWidth="1"/>
    <col min="15108" max="15108" width="2.88671875" style="659" customWidth="1"/>
    <col min="15109" max="15109" width="10.88671875" style="659" customWidth="1"/>
    <col min="15110" max="15110" width="2.88671875" style="659" customWidth="1"/>
    <col min="15111" max="15111" width="4.44140625" style="659" customWidth="1"/>
    <col min="15112" max="15112" width="2.88671875" style="659" customWidth="1"/>
    <col min="15113" max="15113" width="11.5546875" style="659" customWidth="1"/>
    <col min="15114" max="15352" width="7" style="659"/>
    <col min="15353" max="15353" width="4.44140625" style="659" customWidth="1"/>
    <col min="15354" max="15354" width="2.88671875" style="659" customWidth="1"/>
    <col min="15355" max="15355" width="16.6640625" style="659" customWidth="1"/>
    <col min="15356" max="15356" width="2.88671875" style="659" customWidth="1"/>
    <col min="15357" max="15357" width="6.5546875" style="659" customWidth="1"/>
    <col min="15358" max="15358" width="2.88671875" style="659" customWidth="1"/>
    <col min="15359" max="15359" width="26.109375" style="659" customWidth="1"/>
    <col min="15360" max="15360" width="2.88671875" style="659" customWidth="1"/>
    <col min="15361" max="15361" width="10.88671875" style="659" customWidth="1"/>
    <col min="15362" max="15362" width="2.88671875" style="659" customWidth="1"/>
    <col min="15363" max="15363" width="8" style="659" customWidth="1"/>
    <col min="15364" max="15364" width="2.88671875" style="659" customWidth="1"/>
    <col min="15365" max="15365" width="10.88671875" style="659" customWidth="1"/>
    <col min="15366" max="15366" width="2.88671875" style="659" customWidth="1"/>
    <col min="15367" max="15367" width="4.44140625" style="659" customWidth="1"/>
    <col min="15368" max="15368" width="2.88671875" style="659" customWidth="1"/>
    <col min="15369" max="15369" width="11.5546875" style="659" customWidth="1"/>
    <col min="15370" max="15608" width="7" style="659"/>
    <col min="15609" max="15609" width="4.44140625" style="659" customWidth="1"/>
    <col min="15610" max="15610" width="2.88671875" style="659" customWidth="1"/>
    <col min="15611" max="15611" width="16.6640625" style="659" customWidth="1"/>
    <col min="15612" max="15612" width="2.88671875" style="659" customWidth="1"/>
    <col min="15613" max="15613" width="6.5546875" style="659" customWidth="1"/>
    <col min="15614" max="15614" width="2.88671875" style="659" customWidth="1"/>
    <col min="15615" max="15615" width="26.109375" style="659" customWidth="1"/>
    <col min="15616" max="15616" width="2.88671875" style="659" customWidth="1"/>
    <col min="15617" max="15617" width="10.88671875" style="659" customWidth="1"/>
    <col min="15618" max="15618" width="2.88671875" style="659" customWidth="1"/>
    <col min="15619" max="15619" width="8" style="659" customWidth="1"/>
    <col min="15620" max="15620" width="2.88671875" style="659" customWidth="1"/>
    <col min="15621" max="15621" width="10.88671875" style="659" customWidth="1"/>
    <col min="15622" max="15622" width="2.88671875" style="659" customWidth="1"/>
    <col min="15623" max="15623" width="4.44140625" style="659" customWidth="1"/>
    <col min="15624" max="15624" width="2.88671875" style="659" customWidth="1"/>
    <col min="15625" max="15625" width="11.5546875" style="659" customWidth="1"/>
    <col min="15626" max="15864" width="7" style="659"/>
    <col min="15865" max="15865" width="4.44140625" style="659" customWidth="1"/>
    <col min="15866" max="15866" width="2.88671875" style="659" customWidth="1"/>
    <col min="15867" max="15867" width="16.6640625" style="659" customWidth="1"/>
    <col min="15868" max="15868" width="2.88671875" style="659" customWidth="1"/>
    <col min="15869" max="15869" width="6.5546875" style="659" customWidth="1"/>
    <col min="15870" max="15870" width="2.88671875" style="659" customWidth="1"/>
    <col min="15871" max="15871" width="26.109375" style="659" customWidth="1"/>
    <col min="15872" max="15872" width="2.88671875" style="659" customWidth="1"/>
    <col min="15873" max="15873" width="10.88671875" style="659" customWidth="1"/>
    <col min="15874" max="15874" width="2.88671875" style="659" customWidth="1"/>
    <col min="15875" max="15875" width="8" style="659" customWidth="1"/>
    <col min="15876" max="15876" width="2.88671875" style="659" customWidth="1"/>
    <col min="15877" max="15877" width="10.88671875" style="659" customWidth="1"/>
    <col min="15878" max="15878" width="2.88671875" style="659" customWidth="1"/>
    <col min="15879" max="15879" width="4.44140625" style="659" customWidth="1"/>
    <col min="15880" max="15880" width="2.88671875" style="659" customWidth="1"/>
    <col min="15881" max="15881" width="11.5546875" style="659" customWidth="1"/>
    <col min="15882" max="16120" width="7" style="659"/>
    <col min="16121" max="16121" width="4.44140625" style="659" customWidth="1"/>
    <col min="16122" max="16122" width="2.88671875" style="659" customWidth="1"/>
    <col min="16123" max="16123" width="16.6640625" style="659" customWidth="1"/>
    <col min="16124" max="16124" width="2.88671875" style="659" customWidth="1"/>
    <col min="16125" max="16125" width="6.5546875" style="659" customWidth="1"/>
    <col min="16126" max="16126" width="2.88671875" style="659" customWidth="1"/>
    <col min="16127" max="16127" width="26.109375" style="659" customWidth="1"/>
    <col min="16128" max="16128" width="2.88671875" style="659" customWidth="1"/>
    <col min="16129" max="16129" width="10.88671875" style="659" customWidth="1"/>
    <col min="16130" max="16130" width="2.88671875" style="659" customWidth="1"/>
    <col min="16131" max="16131" width="8" style="659" customWidth="1"/>
    <col min="16132" max="16132" width="2.88671875" style="659" customWidth="1"/>
    <col min="16133" max="16133" width="10.88671875" style="659" customWidth="1"/>
    <col min="16134" max="16134" width="2.88671875" style="659" customWidth="1"/>
    <col min="16135" max="16135" width="4.44140625" style="659" customWidth="1"/>
    <col min="16136" max="16136" width="2.88671875" style="659" customWidth="1"/>
    <col min="16137" max="16137" width="11.5546875" style="659" customWidth="1"/>
    <col min="16138" max="16384" width="7" style="659"/>
  </cols>
  <sheetData>
    <row r="1" spans="1:9">
      <c r="A1" s="615"/>
      <c r="D1" s="156"/>
      <c r="I1" s="644" t="s">
        <v>1032</v>
      </c>
    </row>
    <row r="2" spans="1:9">
      <c r="I2" s="505" t="s">
        <v>1033</v>
      </c>
    </row>
    <row r="3" spans="1:9">
      <c r="A3" s="1187" t="s">
        <v>4</v>
      </c>
      <c r="B3" s="1187"/>
      <c r="C3" s="1187"/>
      <c r="D3" s="1187"/>
      <c r="E3" s="1187"/>
      <c r="F3" s="1187"/>
      <c r="G3" s="1187"/>
      <c r="H3" s="1187"/>
      <c r="I3" s="1187"/>
    </row>
    <row r="4" spans="1:9">
      <c r="A4" s="1187" t="s">
        <v>1034</v>
      </c>
      <c r="B4" s="1187"/>
      <c r="C4" s="1187"/>
      <c r="D4" s="1187"/>
      <c r="E4" s="1187"/>
      <c r="F4" s="1187"/>
      <c r="G4" s="1187"/>
      <c r="H4" s="1187"/>
      <c r="I4" s="1187"/>
    </row>
    <row r="5" spans="1:9">
      <c r="A5" s="1166" t="str">
        <f>'A1'!A5:J5</f>
        <v>Test Year Ended June 30, 2024</v>
      </c>
      <c r="B5" s="1166"/>
      <c r="C5" s="1166"/>
      <c r="D5" s="1166"/>
      <c r="E5" s="1166"/>
      <c r="F5" s="1166"/>
      <c r="G5" s="1166"/>
      <c r="H5" s="1166"/>
      <c r="I5" s="1166"/>
    </row>
    <row r="6" spans="1:9">
      <c r="A6" s="1166" t="s">
        <v>1035</v>
      </c>
      <c r="B6" s="1166"/>
      <c r="C6" s="1166"/>
      <c r="D6" s="1166"/>
      <c r="E6" s="1166"/>
      <c r="F6" s="1166"/>
      <c r="G6" s="1166"/>
      <c r="H6" s="1166"/>
      <c r="I6" s="1166"/>
    </row>
    <row r="8" spans="1:9" ht="20.399999999999999">
      <c r="A8" s="664" t="s">
        <v>800</v>
      </c>
      <c r="B8" s="665" t="s">
        <v>1036</v>
      </c>
      <c r="C8" s="666" t="s">
        <v>1037</v>
      </c>
      <c r="D8" s="667" t="s">
        <v>0</v>
      </c>
      <c r="E8" s="665" t="s">
        <v>270</v>
      </c>
      <c r="F8" s="666" t="s">
        <v>1038</v>
      </c>
      <c r="G8" s="666" t="s">
        <v>339</v>
      </c>
      <c r="H8" s="666" t="s">
        <v>800</v>
      </c>
      <c r="I8" s="665" t="s">
        <v>1039</v>
      </c>
    </row>
    <row r="9" spans="1:9">
      <c r="B9" s="660"/>
      <c r="E9" s="660"/>
      <c r="F9" s="660"/>
      <c r="G9" s="660"/>
      <c r="H9" s="660"/>
    </row>
    <row r="10" spans="1:9">
      <c r="D10" s="668" t="s">
        <v>1040</v>
      </c>
      <c r="E10" s="660"/>
      <c r="F10" s="660"/>
      <c r="G10" s="660"/>
      <c r="H10" s="660"/>
    </row>
    <row r="11" spans="1:9">
      <c r="D11" s="668"/>
      <c r="E11" s="660"/>
      <c r="F11" s="660"/>
      <c r="G11" s="660"/>
      <c r="H11" s="660"/>
    </row>
    <row r="12" spans="1:9">
      <c r="A12" s="660">
        <v>1</v>
      </c>
      <c r="B12" s="660" t="s">
        <v>1041</v>
      </c>
      <c r="C12" s="660">
        <v>302</v>
      </c>
      <c r="D12" s="669" t="s">
        <v>278</v>
      </c>
      <c r="E12" s="490">
        <f>'Rate Base (RCN)'!F11/1000</f>
        <v>370.54208999999997</v>
      </c>
      <c r="F12" s="670" t="s">
        <v>22</v>
      </c>
      <c r="G12" s="490">
        <f>+E12-I12</f>
        <v>265.18877999999995</v>
      </c>
      <c r="H12" s="660">
        <f>+A12</f>
        <v>1</v>
      </c>
      <c r="I12" s="490">
        <f>'Rate Base (RCN)'!F60/1000</f>
        <v>105.35331000000001</v>
      </c>
    </row>
    <row r="13" spans="1:9">
      <c r="A13" s="660">
        <f>+A12+1</f>
        <v>2</v>
      </c>
      <c r="B13" s="660"/>
      <c r="C13" s="660">
        <v>303</v>
      </c>
      <c r="D13" s="669" t="s">
        <v>446</v>
      </c>
      <c r="E13" s="505">
        <f>'Rate Base (RCN)'!F12/1000</f>
        <v>85.701340000000002</v>
      </c>
      <c r="F13" s="670">
        <f>+G13/E13</f>
        <v>0.70055205671229881</v>
      </c>
      <c r="G13" s="505">
        <f>+E13-I13</f>
        <v>60.038250000000005</v>
      </c>
      <c r="H13" s="660">
        <f>+A13</f>
        <v>2</v>
      </c>
      <c r="I13" s="505">
        <f>'Rate Base (RCN)'!F61/1000</f>
        <v>25.663089999999997</v>
      </c>
    </row>
    <row r="14" spans="1:9">
      <c r="A14" s="660">
        <f>+A13+1</f>
        <v>3</v>
      </c>
      <c r="B14" s="660"/>
      <c r="D14" s="671" t="s">
        <v>260</v>
      </c>
      <c r="E14" s="672">
        <f>SUM(E12:E13)</f>
        <v>456.24342999999999</v>
      </c>
      <c r="F14" s="672"/>
      <c r="G14" s="672">
        <f>SUM(G12:G13)</f>
        <v>325.22702999999996</v>
      </c>
      <c r="H14" s="660">
        <f>+A14</f>
        <v>3</v>
      </c>
      <c r="I14" s="672">
        <f>SUM(I12:I13)</f>
        <v>131.0164</v>
      </c>
    </row>
    <row r="15" spans="1:9">
      <c r="B15" s="660"/>
      <c r="D15" s="671"/>
      <c r="E15" s="673"/>
      <c r="F15" s="674"/>
      <c r="G15" s="673"/>
      <c r="H15" s="660"/>
      <c r="I15" s="673"/>
    </row>
    <row r="16" spans="1:9">
      <c r="A16" s="660">
        <f>+A14+1</f>
        <v>4</v>
      </c>
      <c r="B16" s="660" t="s">
        <v>1043</v>
      </c>
      <c r="C16" s="660">
        <v>365</v>
      </c>
      <c r="D16" s="675" t="s">
        <v>282</v>
      </c>
      <c r="E16" s="490">
        <f>'Rate Base (RCN)'!F16/1000</f>
        <v>102.60564000000001</v>
      </c>
      <c r="F16" s="670">
        <f>+G16/E16</f>
        <v>0.31437959940603666</v>
      </c>
      <c r="G16" s="490">
        <f>+E16-I16</f>
        <v>32.257120000000015</v>
      </c>
      <c r="H16" s="660">
        <f t="shared" ref="H16:H21" si="0">+A16</f>
        <v>4</v>
      </c>
      <c r="I16" s="490">
        <f>'Rate Base (RCN)'!F66/1000</f>
        <v>70.348519999999994</v>
      </c>
    </row>
    <row r="17" spans="1:9">
      <c r="A17" s="660">
        <f>+A16+1</f>
        <v>5</v>
      </c>
      <c r="B17" s="660"/>
      <c r="C17" s="660">
        <v>366</v>
      </c>
      <c r="D17" s="675" t="s">
        <v>104</v>
      </c>
      <c r="E17" s="505">
        <f>'Rate Base (RCN)'!F17/1000</f>
        <v>41.674210000000002</v>
      </c>
      <c r="F17" s="670">
        <f>+G17/E17</f>
        <v>0.53449224591487488</v>
      </c>
      <c r="G17" s="505">
        <f>+E17-I17</f>
        <v>22.274542099628139</v>
      </c>
      <c r="H17" s="660">
        <f t="shared" si="0"/>
        <v>5</v>
      </c>
      <c r="I17" s="505">
        <f>'Rate Base (RCN)'!F67/1000</f>
        <v>19.399667900371863</v>
      </c>
    </row>
    <row r="18" spans="1:9">
      <c r="A18" s="660">
        <f>+A17+1</f>
        <v>6</v>
      </c>
      <c r="B18" s="660"/>
      <c r="C18" s="660">
        <v>367</v>
      </c>
      <c r="D18" s="675" t="s">
        <v>110</v>
      </c>
      <c r="E18" s="505">
        <f>'Rate Base (RCN)'!F18/1000</f>
        <v>61588.173359999993</v>
      </c>
      <c r="F18" s="670">
        <f>+G18/E18</f>
        <v>0.4320450475621419</v>
      </c>
      <c r="G18" s="505">
        <f>+E18-I18</f>
        <v>26608.86528858664</v>
      </c>
      <c r="H18" s="660">
        <f t="shared" si="0"/>
        <v>6</v>
      </c>
      <c r="I18" s="505">
        <f>'Rate Base (RCN)'!F68/1000</f>
        <v>34979.308071413354</v>
      </c>
    </row>
    <row r="19" spans="1:9">
      <c r="A19" s="660">
        <f>+A18+1</f>
        <v>7</v>
      </c>
      <c r="B19" s="660"/>
      <c r="C19" s="660">
        <v>369</v>
      </c>
      <c r="D19" s="675" t="s">
        <v>1433</v>
      </c>
      <c r="E19" s="505">
        <f>'Rate Base (RCN)'!F19/1000</f>
        <v>10699.05899</v>
      </c>
      <c r="F19" s="670">
        <f>+G19/E19</f>
        <v>0.37203385576060638</v>
      </c>
      <c r="G19" s="505">
        <f>+E19-I19</f>
        <v>3980.4121690598786</v>
      </c>
      <c r="H19" s="660">
        <f t="shared" si="0"/>
        <v>7</v>
      </c>
      <c r="I19" s="505">
        <f>'Rate Base (RCN)'!F69/1000</f>
        <v>6718.646820940121</v>
      </c>
    </row>
    <row r="20" spans="1:9">
      <c r="A20" s="660">
        <f>+A19+1</f>
        <v>8</v>
      </c>
      <c r="B20" s="660"/>
      <c r="C20" s="660">
        <v>371</v>
      </c>
      <c r="D20" s="675" t="s">
        <v>107</v>
      </c>
      <c r="E20" s="505">
        <f>'Rate Base (RCN)'!F20/1000</f>
        <v>183.58123000000001</v>
      </c>
      <c r="F20" s="670">
        <f>+G20/E20</f>
        <v>3.0550127592020311E-2</v>
      </c>
      <c r="G20" s="505">
        <f>+E20-I20</f>
        <v>5.6084300000000269</v>
      </c>
      <c r="H20" s="660">
        <f t="shared" si="0"/>
        <v>8</v>
      </c>
      <c r="I20" s="505">
        <f>'Rate Base (RCN)'!F70/1000</f>
        <v>177.97279999999998</v>
      </c>
    </row>
    <row r="21" spans="1:9">
      <c r="A21" s="660">
        <v>9</v>
      </c>
      <c r="B21" s="660"/>
      <c r="D21" s="671" t="s">
        <v>1042</v>
      </c>
      <c r="E21" s="672">
        <f>SUM(E16:E20)</f>
        <v>72615.093429999994</v>
      </c>
      <c r="F21" s="672"/>
      <c r="G21" s="672">
        <f>SUM(G16:G20)</f>
        <v>30649.417549746147</v>
      </c>
      <c r="H21" s="660">
        <f t="shared" si="0"/>
        <v>9</v>
      </c>
      <c r="I21" s="672">
        <f>SUM(I16:I20)</f>
        <v>41965.675880253853</v>
      </c>
    </row>
    <row r="22" spans="1:9">
      <c r="B22" s="660"/>
      <c r="D22" s="671"/>
      <c r="E22" s="673"/>
      <c r="F22" s="674"/>
      <c r="G22" s="673"/>
      <c r="H22" s="660"/>
      <c r="I22" s="673"/>
    </row>
    <row r="23" spans="1:9">
      <c r="A23" s="660">
        <f>+A21+1</f>
        <v>10</v>
      </c>
      <c r="B23" s="660" t="s">
        <v>1044</v>
      </c>
      <c r="C23" s="660">
        <v>374</v>
      </c>
      <c r="D23" s="675" t="s">
        <v>282</v>
      </c>
      <c r="E23" s="490">
        <f>'Rate Base (RCN)'!F24/1000</f>
        <v>453.13097000000005</v>
      </c>
      <c r="F23" s="670">
        <f t="shared" ref="F23:F34" si="1">+G23/E23</f>
        <v>1.1219750081351398</v>
      </c>
      <c r="G23" s="490">
        <f t="shared" ref="G23:G34" si="2">+E23-I23</f>
        <v>508.40162375203386</v>
      </c>
      <c r="H23" s="660">
        <f t="shared" ref="H23:H30" si="3">+A23</f>
        <v>10</v>
      </c>
      <c r="I23" s="490">
        <f>'Rate Base (RCN)'!F75/1000</f>
        <v>-55.270653752033809</v>
      </c>
    </row>
    <row r="24" spans="1:9">
      <c r="A24" s="660">
        <f t="shared" ref="A24:A30" si="4">+A23+1</f>
        <v>11</v>
      </c>
      <c r="B24" s="660"/>
      <c r="C24" s="660">
        <v>375</v>
      </c>
      <c r="D24" s="659" t="s">
        <v>104</v>
      </c>
      <c r="E24" s="505">
        <f>'Rate Base (RCN)'!F25/1000</f>
        <v>224.21072000000004</v>
      </c>
      <c r="F24" s="670">
        <f t="shared" si="1"/>
        <v>0.85300554871002532</v>
      </c>
      <c r="G24" s="505">
        <f t="shared" si="2"/>
        <v>191.25298824026987</v>
      </c>
      <c r="H24" s="660">
        <f t="shared" si="3"/>
        <v>11</v>
      </c>
      <c r="I24" s="505">
        <f>'Rate Base (RCN)'!F76/1000</f>
        <v>32.957731759730159</v>
      </c>
    </row>
    <row r="25" spans="1:9">
      <c r="A25" s="660">
        <f t="shared" si="4"/>
        <v>12</v>
      </c>
      <c r="B25" s="660"/>
      <c r="C25" s="660">
        <v>376</v>
      </c>
      <c r="D25" s="659" t="s">
        <v>110</v>
      </c>
      <c r="E25" s="505">
        <f>'Rate Base (RCN)'!F26/1000</f>
        <v>706017.90187947929</v>
      </c>
      <c r="F25" s="670">
        <f t="shared" si="1"/>
        <v>0.49908942087506836</v>
      </c>
      <c r="G25" s="505">
        <f t="shared" si="2"/>
        <v>352366.06577646016</v>
      </c>
      <c r="H25" s="660">
        <f t="shared" si="3"/>
        <v>12</v>
      </c>
      <c r="I25" s="505">
        <f>'Rate Base (RCN)'!F77/1000</f>
        <v>353651.83610301913</v>
      </c>
    </row>
    <row r="26" spans="1:9" ht="20.399999999999999">
      <c r="A26" s="660">
        <f t="shared" si="4"/>
        <v>13</v>
      </c>
      <c r="B26" s="660"/>
      <c r="C26" s="660">
        <v>378</v>
      </c>
      <c r="D26" s="675" t="s">
        <v>1434</v>
      </c>
      <c r="E26" s="505">
        <f>'Rate Base (RCN)'!F27/1000</f>
        <v>14886.146590000004</v>
      </c>
      <c r="F26" s="670">
        <f t="shared" si="1"/>
        <v>0.50794955068528158</v>
      </c>
      <c r="G26" s="505">
        <f t="shared" si="2"/>
        <v>7561.4114718257379</v>
      </c>
      <c r="H26" s="660">
        <f t="shared" si="3"/>
        <v>13</v>
      </c>
      <c r="I26" s="505">
        <f>'Rate Base (RCN)'!F78/1000</f>
        <v>7324.7351181742661</v>
      </c>
    </row>
    <row r="27" spans="1:9" ht="20.399999999999999">
      <c r="A27" s="660">
        <f t="shared" si="4"/>
        <v>14</v>
      </c>
      <c r="B27" s="660"/>
      <c r="C27" s="660">
        <v>379</v>
      </c>
      <c r="D27" s="675" t="s">
        <v>1435</v>
      </c>
      <c r="E27" s="505">
        <f>'Rate Base (RCN)'!F28/1000</f>
        <v>15634.463600000005</v>
      </c>
      <c r="F27" s="670">
        <f t="shared" si="1"/>
        <v>0.62134308724653764</v>
      </c>
      <c r="G27" s="505">
        <f t="shared" si="2"/>
        <v>9714.3658806676194</v>
      </c>
      <c r="H27" s="660">
        <f t="shared" si="3"/>
        <v>14</v>
      </c>
      <c r="I27" s="505">
        <f>'Rate Base (RCN)'!F79/1000</f>
        <v>5920.0977193323852</v>
      </c>
    </row>
    <row r="28" spans="1:9">
      <c r="A28" s="660">
        <f t="shared" si="4"/>
        <v>15</v>
      </c>
      <c r="B28" s="660"/>
      <c r="C28" s="660">
        <v>380</v>
      </c>
      <c r="D28" s="659" t="s">
        <v>113</v>
      </c>
      <c r="E28" s="505">
        <f>'Rate Base (RCN)'!F29/1000</f>
        <v>335412.41256738285</v>
      </c>
      <c r="F28" s="670">
        <f t="shared" si="1"/>
        <v>0.55161198698675995</v>
      </c>
      <c r="G28" s="505">
        <f t="shared" si="2"/>
        <v>185017.50735631696</v>
      </c>
      <c r="H28" s="660">
        <f t="shared" si="3"/>
        <v>15</v>
      </c>
      <c r="I28" s="505">
        <f>'Rate Base (RCN)'!F80/1000</f>
        <v>150394.9052110659</v>
      </c>
    </row>
    <row r="29" spans="1:9">
      <c r="A29" s="660">
        <f t="shared" si="4"/>
        <v>16</v>
      </c>
      <c r="B29" s="660"/>
      <c r="C29" s="660">
        <v>381</v>
      </c>
      <c r="D29" s="659" t="s">
        <v>114</v>
      </c>
      <c r="E29" s="505">
        <f>'Rate Base (RCN)'!F30/1000</f>
        <v>75245.40814</v>
      </c>
      <c r="F29" s="670">
        <f t="shared" si="1"/>
        <v>0.78379104313045933</v>
      </c>
      <c r="G29" s="505">
        <f t="shared" si="2"/>
        <v>58976.676936827753</v>
      </c>
      <c r="H29" s="660">
        <f t="shared" si="3"/>
        <v>16</v>
      </c>
      <c r="I29" s="505">
        <f>'Rate Base (RCN)'!F81/1000</f>
        <v>16268.731203172249</v>
      </c>
    </row>
    <row r="30" spans="1:9">
      <c r="A30" s="660">
        <f t="shared" si="4"/>
        <v>17</v>
      </c>
      <c r="B30" s="660"/>
      <c r="C30" s="660">
        <v>382</v>
      </c>
      <c r="D30" s="659" t="s">
        <v>115</v>
      </c>
      <c r="E30" s="505">
        <f>'Rate Base (RCN)'!F31/1000</f>
        <v>44175.294040000001</v>
      </c>
      <c r="F30" s="670">
        <f t="shared" si="1"/>
        <v>0.82345837673665934</v>
      </c>
      <c r="G30" s="505">
        <f t="shared" si="2"/>
        <v>36376.515922043021</v>
      </c>
      <c r="H30" s="660">
        <f t="shared" si="3"/>
        <v>17</v>
      </c>
      <c r="I30" s="505">
        <f>'Rate Base (RCN)'!F82/1000</f>
        <v>7798.7781179569756</v>
      </c>
    </row>
    <row r="31" spans="1:9">
      <c r="A31" s="660">
        <f>+A30+1</f>
        <v>18</v>
      </c>
      <c r="B31" s="660"/>
      <c r="C31" s="660">
        <v>383</v>
      </c>
      <c r="D31" s="659" t="s">
        <v>116</v>
      </c>
      <c r="E31" s="505">
        <f>'Rate Base (RCN)'!F32/1000</f>
        <v>10557.902589999994</v>
      </c>
      <c r="F31" s="670">
        <f t="shared" si="1"/>
        <v>0.43853251554105588</v>
      </c>
      <c r="G31" s="505">
        <f t="shared" si="2"/>
        <v>4629.9835816301265</v>
      </c>
      <c r="H31" s="660">
        <f>+A31</f>
        <v>18</v>
      </c>
      <c r="I31" s="505">
        <f>'Rate Base (RCN)'!F83/1000</f>
        <v>5927.9190083698677</v>
      </c>
    </row>
    <row r="32" spans="1:9">
      <c r="A32" s="660">
        <f>+A31+1</f>
        <v>19</v>
      </c>
      <c r="B32" s="660"/>
      <c r="C32" s="660">
        <v>384</v>
      </c>
      <c r="D32" s="659" t="s">
        <v>117</v>
      </c>
      <c r="E32" s="505">
        <f>'Rate Base (RCN)'!F33/1000</f>
        <v>11652.680819999994</v>
      </c>
      <c r="F32" s="670">
        <f t="shared" si="1"/>
        <v>0.62109144182412557</v>
      </c>
      <c r="G32" s="505">
        <f t="shared" si="2"/>
        <v>7237.3803316101303</v>
      </c>
      <c r="H32" s="660">
        <f>+A32</f>
        <v>19</v>
      </c>
      <c r="I32" s="505">
        <f>'Rate Base (RCN)'!F84/1000</f>
        <v>4415.3004883898639</v>
      </c>
    </row>
    <row r="33" spans="1:9">
      <c r="A33" s="660">
        <f>+A32+1</f>
        <v>20</v>
      </c>
      <c r="B33" s="660"/>
      <c r="C33" s="660">
        <v>385</v>
      </c>
      <c r="D33" s="659" t="s">
        <v>118</v>
      </c>
      <c r="E33" s="505">
        <f>'Rate Base (RCN)'!F34/1000</f>
        <v>2947.401919999998</v>
      </c>
      <c r="F33" s="670">
        <f t="shared" si="1"/>
        <v>0.56271538630198037</v>
      </c>
      <c r="G33" s="505">
        <f t="shared" si="2"/>
        <v>1658.5484099999976</v>
      </c>
      <c r="H33" s="660">
        <f>+A33</f>
        <v>20</v>
      </c>
      <c r="I33" s="505">
        <f>'Rate Base (RCN)'!F85/1000</f>
        <v>1288.8535100000004</v>
      </c>
    </row>
    <row r="34" spans="1:9">
      <c r="A34" s="660">
        <f>+A33+1</f>
        <v>21</v>
      </c>
      <c r="B34" s="660"/>
      <c r="C34" s="660">
        <v>387</v>
      </c>
      <c r="D34" s="659" t="s">
        <v>107</v>
      </c>
      <c r="E34" s="505">
        <f>'Rate Base (RCN)'!F35/1000</f>
        <v>2351.6899199999993</v>
      </c>
      <c r="F34" s="670">
        <f t="shared" si="1"/>
        <v>0.24977768752778395</v>
      </c>
      <c r="G34" s="505">
        <f t="shared" si="2"/>
        <v>587.39966999999911</v>
      </c>
      <c r="H34" s="660">
        <f>+A34</f>
        <v>21</v>
      </c>
      <c r="I34" s="505">
        <f>'Rate Base (RCN)'!F86/1000</f>
        <v>1764.2902500000002</v>
      </c>
    </row>
    <row r="35" spans="1:9" s="676" customFormat="1">
      <c r="A35" s="660">
        <f>+A34+1</f>
        <v>22</v>
      </c>
      <c r="B35" s="660"/>
      <c r="C35" s="660"/>
      <c r="D35" s="671" t="s">
        <v>261</v>
      </c>
      <c r="E35" s="672">
        <f>SUM(E23:E34)</f>
        <v>1219558.6437568623</v>
      </c>
      <c r="F35" s="672"/>
      <c r="G35" s="672">
        <f>SUM(G23:G34)</f>
        <v>664825.50994937378</v>
      </c>
      <c r="H35" s="660">
        <f>+A35</f>
        <v>22</v>
      </c>
      <c r="I35" s="672">
        <f>SUM(I23:I34)</f>
        <v>554733.13380748837</v>
      </c>
    </row>
    <row r="36" spans="1:9">
      <c r="B36" s="660"/>
      <c r="D36" s="669"/>
      <c r="E36" s="673"/>
      <c r="F36" s="677"/>
      <c r="G36" s="673"/>
      <c r="H36" s="660"/>
      <c r="I36" s="487"/>
    </row>
    <row r="37" spans="1:9">
      <c r="B37" s="660"/>
      <c r="D37" s="669"/>
      <c r="E37" s="673"/>
      <c r="F37" s="677"/>
      <c r="G37" s="673"/>
      <c r="H37" s="660"/>
      <c r="I37" s="487"/>
    </row>
    <row r="38" spans="1:9">
      <c r="B38" s="660"/>
      <c r="D38" s="669"/>
      <c r="E38" s="673"/>
      <c r="F38" s="677"/>
      <c r="G38" s="673"/>
      <c r="H38" s="660"/>
      <c r="I38" s="487"/>
    </row>
    <row r="39" spans="1:9">
      <c r="B39" s="660"/>
      <c r="D39" s="678"/>
      <c r="E39" s="652" t="s">
        <v>990</v>
      </c>
      <c r="F39" s="677"/>
      <c r="G39" s="673"/>
      <c r="H39" s="660"/>
      <c r="I39" s="487"/>
    </row>
    <row r="40" spans="1:9">
      <c r="B40" s="660"/>
      <c r="D40" s="679"/>
      <c r="E40" s="646" t="s">
        <v>1045</v>
      </c>
      <c r="F40" s="677"/>
      <c r="G40" s="673"/>
      <c r="H40" s="660"/>
      <c r="I40" s="487"/>
    </row>
    <row r="41" spans="1:9">
      <c r="B41" s="660"/>
      <c r="D41" s="679"/>
      <c r="E41" s="646"/>
      <c r="F41" s="677"/>
      <c r="G41" s="673"/>
      <c r="H41" s="660"/>
      <c r="I41" s="517"/>
    </row>
    <row r="42" spans="1:9">
      <c r="D42" s="156"/>
      <c r="I42" s="644" t="s">
        <v>1032</v>
      </c>
    </row>
    <row r="43" spans="1:9">
      <c r="I43" s="505" t="s">
        <v>1046</v>
      </c>
    </row>
    <row r="44" spans="1:9">
      <c r="A44" s="1187" t="s">
        <v>4</v>
      </c>
      <c r="B44" s="1187"/>
      <c r="C44" s="1187"/>
      <c r="D44" s="1187"/>
      <c r="E44" s="1187"/>
      <c r="F44" s="1187"/>
      <c r="G44" s="1187"/>
      <c r="H44" s="1187"/>
      <c r="I44" s="1187"/>
    </row>
    <row r="45" spans="1:9">
      <c r="A45" s="1187" t="s">
        <v>1034</v>
      </c>
      <c r="B45" s="1187"/>
      <c r="C45" s="1187"/>
      <c r="D45" s="1187"/>
      <c r="E45" s="1187"/>
      <c r="F45" s="1187"/>
      <c r="G45" s="1187"/>
      <c r="H45" s="1187"/>
      <c r="I45" s="1187"/>
    </row>
    <row r="46" spans="1:9">
      <c r="A46" s="1187" t="str">
        <f>A5</f>
        <v>Test Year Ended June 30, 2024</v>
      </c>
      <c r="B46" s="1187"/>
      <c r="C46" s="1187"/>
      <c r="D46" s="1187"/>
      <c r="E46" s="1187"/>
      <c r="F46" s="1187"/>
      <c r="G46" s="1187"/>
      <c r="H46" s="1187"/>
      <c r="I46" s="1187"/>
    </row>
    <row r="47" spans="1:9">
      <c r="A47" s="1166" t="s">
        <v>1035</v>
      </c>
      <c r="B47" s="1166"/>
      <c r="C47" s="1166"/>
      <c r="D47" s="1166"/>
      <c r="E47" s="1166"/>
      <c r="F47" s="1166"/>
      <c r="G47" s="1166"/>
      <c r="H47" s="1166"/>
      <c r="I47" s="1166"/>
    </row>
    <row r="48" spans="1:9">
      <c r="A48" s="661"/>
      <c r="B48" s="662"/>
      <c r="C48" s="662"/>
      <c r="D48" s="661"/>
      <c r="E48" s="662"/>
      <c r="F48" s="662"/>
      <c r="G48" s="662"/>
      <c r="H48" s="662"/>
      <c r="I48" s="663"/>
    </row>
    <row r="50" spans="1:9" ht="20.399999999999999">
      <c r="A50" s="664" t="s">
        <v>800</v>
      </c>
      <c r="B50" s="665" t="s">
        <v>1036</v>
      </c>
      <c r="C50" s="666" t="s">
        <v>1037</v>
      </c>
      <c r="D50" s="667" t="s">
        <v>0</v>
      </c>
      <c r="E50" s="665" t="s">
        <v>270</v>
      </c>
      <c r="F50" s="666" t="s">
        <v>1038</v>
      </c>
      <c r="G50" s="666" t="s">
        <v>339</v>
      </c>
      <c r="H50" s="666" t="s">
        <v>800</v>
      </c>
      <c r="I50" s="667" t="s">
        <v>1039</v>
      </c>
    </row>
    <row r="51" spans="1:9">
      <c r="B51" s="660"/>
      <c r="E51" s="660"/>
      <c r="F51" s="660"/>
      <c r="G51" s="660"/>
      <c r="H51" s="660"/>
    </row>
    <row r="52" spans="1:9">
      <c r="A52" s="660">
        <f>+A35+1</f>
        <v>23</v>
      </c>
      <c r="B52" s="660" t="s">
        <v>1047</v>
      </c>
      <c r="C52" s="660">
        <v>389</v>
      </c>
      <c r="D52" s="675" t="s">
        <v>282</v>
      </c>
      <c r="E52" s="490">
        <f>'Rate Base (RCN)'!F39/1000</f>
        <v>1848.7009900000003</v>
      </c>
      <c r="F52" s="670">
        <f t="shared" ref="F52:F61" si="5">+G52/E52</f>
        <v>0.8867718687297409</v>
      </c>
      <c r="G52" s="490">
        <f t="shared" ref="G52:G61" si="6">+E52-I52</f>
        <v>1639.3760316248222</v>
      </c>
      <c r="H52" s="660">
        <f t="shared" ref="H52:H62" si="7">+A52</f>
        <v>23</v>
      </c>
      <c r="I52" s="490">
        <f>'Rate Base (RCN)'!F91/1000</f>
        <v>209.32495837517806</v>
      </c>
    </row>
    <row r="53" spans="1:9">
      <c r="A53" s="660">
        <f t="shared" ref="A53:A62" si="8">+A52+1</f>
        <v>24</v>
      </c>
      <c r="C53" s="660">
        <v>390</v>
      </c>
      <c r="D53" s="659" t="s">
        <v>104</v>
      </c>
      <c r="E53" s="505">
        <f>'Rate Base (RCN)'!F40/1000</f>
        <v>29993.123340000006</v>
      </c>
      <c r="F53" s="670">
        <f t="shared" si="5"/>
        <v>0.78393085897895687</v>
      </c>
      <c r="G53" s="505">
        <f t="shared" si="6"/>
        <v>23512.534943388004</v>
      </c>
      <c r="H53" s="660">
        <f t="shared" si="7"/>
        <v>24</v>
      </c>
      <c r="I53" s="505">
        <f>'Rate Base (RCN)'!F92/1000</f>
        <v>6480.5883966120027</v>
      </c>
    </row>
    <row r="54" spans="1:9">
      <c r="A54" s="660">
        <f t="shared" si="8"/>
        <v>25</v>
      </c>
      <c r="C54" s="660">
        <v>391</v>
      </c>
      <c r="D54" s="659" t="s">
        <v>293</v>
      </c>
      <c r="E54" s="505">
        <f>'Rate Base (RCN)'!F41/1000</f>
        <v>5108.2201900000009</v>
      </c>
      <c r="F54" s="670">
        <f t="shared" si="5"/>
        <v>0.49863535178133273</v>
      </c>
      <c r="G54" s="505">
        <f t="shared" si="6"/>
        <v>2547.1391714171568</v>
      </c>
      <c r="H54" s="660">
        <f t="shared" si="7"/>
        <v>25</v>
      </c>
      <c r="I54" s="505">
        <f>'Rate Base (RCN)'!F93/1000</f>
        <v>2561.0810185828441</v>
      </c>
    </row>
    <row r="55" spans="1:9">
      <c r="A55" s="660">
        <f t="shared" si="8"/>
        <v>26</v>
      </c>
      <c r="C55" s="660">
        <v>392</v>
      </c>
      <c r="D55" s="659" t="s">
        <v>123</v>
      </c>
      <c r="E55" s="505">
        <f>'Rate Base (RCN)'!F42/1000</f>
        <v>14566.588299999998</v>
      </c>
      <c r="F55" s="670">
        <f t="shared" si="5"/>
        <v>0.36183925991784932</v>
      </c>
      <c r="G55" s="505">
        <f t="shared" si="6"/>
        <v>5270.763530000002</v>
      </c>
      <c r="H55" s="660">
        <f t="shared" si="7"/>
        <v>26</v>
      </c>
      <c r="I55" s="505">
        <f>'Rate Base (RCN)'!F94/1000</f>
        <v>9295.8247699999956</v>
      </c>
    </row>
    <row r="56" spans="1:9">
      <c r="A56" s="660">
        <f t="shared" si="8"/>
        <v>27</v>
      </c>
      <c r="C56" s="660">
        <v>393</v>
      </c>
      <c r="D56" s="659" t="s">
        <v>124</v>
      </c>
      <c r="E56" s="505">
        <f>'Rate Base (RCN)'!F43/1000</f>
        <v>359.29520000000002</v>
      </c>
      <c r="F56" s="670">
        <f t="shared" si="5"/>
        <v>0.47526265310530169</v>
      </c>
      <c r="G56" s="505">
        <f t="shared" si="6"/>
        <v>170.75959</v>
      </c>
      <c r="H56" s="660">
        <f t="shared" si="7"/>
        <v>27</v>
      </c>
      <c r="I56" s="505">
        <f>'Rate Base (RCN)'!F95/1000</f>
        <v>188.53561000000002</v>
      </c>
    </row>
    <row r="57" spans="1:9">
      <c r="A57" s="660">
        <f t="shared" si="8"/>
        <v>28</v>
      </c>
      <c r="C57" s="660">
        <v>394</v>
      </c>
      <c r="D57" s="659" t="s">
        <v>294</v>
      </c>
      <c r="E57" s="505">
        <f>'Rate Base (RCN)'!F44/1000</f>
        <v>6995.0125600000001</v>
      </c>
      <c r="F57" s="670">
        <f t="shared" si="5"/>
        <v>0.58106277081509661</v>
      </c>
      <c r="G57" s="505">
        <f t="shared" si="6"/>
        <v>4064.5413800000024</v>
      </c>
      <c r="H57" s="660">
        <f t="shared" si="7"/>
        <v>28</v>
      </c>
      <c r="I57" s="505">
        <f>'Rate Base (RCN)'!F96/1000</f>
        <v>2930.4711799999977</v>
      </c>
    </row>
    <row r="58" spans="1:9">
      <c r="A58" s="660">
        <f t="shared" si="8"/>
        <v>29</v>
      </c>
      <c r="C58" s="660">
        <v>395</v>
      </c>
      <c r="D58" s="659" t="s">
        <v>126</v>
      </c>
      <c r="E58" s="505">
        <f>'Rate Base (RCN)'!F45/1000</f>
        <v>90.479959999999991</v>
      </c>
      <c r="F58" s="670">
        <f t="shared" si="5"/>
        <v>0.41319669018421307</v>
      </c>
      <c r="G58" s="505">
        <f t="shared" si="6"/>
        <v>37.386019999999988</v>
      </c>
      <c r="H58" s="660">
        <f t="shared" si="7"/>
        <v>29</v>
      </c>
      <c r="I58" s="505">
        <f>'Rate Base (RCN)'!F97/1000</f>
        <v>53.093940000000003</v>
      </c>
    </row>
    <row r="59" spans="1:9">
      <c r="A59" s="660">
        <f t="shared" si="8"/>
        <v>30</v>
      </c>
      <c r="C59" s="660">
        <v>396</v>
      </c>
      <c r="D59" s="659" t="s">
        <v>127</v>
      </c>
      <c r="E59" s="505">
        <f>'Rate Base (RCN)'!F46/1000</f>
        <v>3048.5208199999984</v>
      </c>
      <c r="F59" s="670">
        <f t="shared" si="5"/>
        <v>0.40591126748479894</v>
      </c>
      <c r="G59" s="505">
        <f t="shared" si="6"/>
        <v>1237.4289499999979</v>
      </c>
      <c r="H59" s="660">
        <f t="shared" si="7"/>
        <v>30</v>
      </c>
      <c r="I59" s="505">
        <f>'Rate Base (RCN)'!F98/1000</f>
        <v>1811.0918700000004</v>
      </c>
    </row>
    <row r="60" spans="1:9">
      <c r="A60" s="660">
        <f t="shared" si="8"/>
        <v>31</v>
      </c>
      <c r="C60" s="660">
        <v>397</v>
      </c>
      <c r="D60" s="659" t="s">
        <v>128</v>
      </c>
      <c r="E60" s="505">
        <f>'Rate Base (RCN)'!F47/1000</f>
        <v>4214.6774699999996</v>
      </c>
      <c r="F60" s="670">
        <f t="shared" si="5"/>
        <v>0.64354002869880333</v>
      </c>
      <c r="G60" s="505">
        <f t="shared" si="6"/>
        <v>2712.3136599999998</v>
      </c>
      <c r="H60" s="660">
        <f t="shared" si="7"/>
        <v>31</v>
      </c>
      <c r="I60" s="505">
        <f>'Rate Base (RCN)'!F99/1000</f>
        <v>1502.3638099999996</v>
      </c>
    </row>
    <row r="61" spans="1:9">
      <c r="A61" s="660">
        <f t="shared" si="8"/>
        <v>32</v>
      </c>
      <c r="C61" s="660">
        <v>398</v>
      </c>
      <c r="D61" s="659" t="s">
        <v>129</v>
      </c>
      <c r="E61" s="505">
        <f>'Rate Base (RCN)'!F48/1000</f>
        <v>537.15823</v>
      </c>
      <c r="F61" s="670">
        <f t="shared" si="5"/>
        <v>0.44896966392937876</v>
      </c>
      <c r="G61" s="505">
        <f t="shared" si="6"/>
        <v>241.16774999999996</v>
      </c>
      <c r="H61" s="660">
        <f t="shared" si="7"/>
        <v>32</v>
      </c>
      <c r="I61" s="505">
        <f>'Rate Base (RCN)'!F100/1000</f>
        <v>295.99048000000005</v>
      </c>
    </row>
    <row r="62" spans="1:9">
      <c r="A62" s="660">
        <f t="shared" si="8"/>
        <v>33</v>
      </c>
      <c r="D62" s="660" t="s">
        <v>263</v>
      </c>
      <c r="E62" s="672">
        <f>SUM(E52:E61)</f>
        <v>66761.777060000008</v>
      </c>
      <c r="F62" s="677"/>
      <c r="G62" s="672">
        <f>SUM(G52:G61)</f>
        <v>41433.411026429989</v>
      </c>
      <c r="H62" s="660">
        <f t="shared" si="7"/>
        <v>33</v>
      </c>
      <c r="I62" s="672">
        <f>SUM(I52:I61)</f>
        <v>25328.366033570015</v>
      </c>
    </row>
    <row r="63" spans="1:9">
      <c r="A63" s="659"/>
      <c r="D63" s="669"/>
      <c r="E63" s="673"/>
      <c r="F63" s="677"/>
      <c r="G63" s="673"/>
      <c r="I63" s="673"/>
    </row>
    <row r="64" spans="1:9" ht="10.8" thickBot="1">
      <c r="A64" s="660">
        <f>+A62+1</f>
        <v>34</v>
      </c>
      <c r="D64" s="671" t="s">
        <v>1048</v>
      </c>
      <c r="E64" s="680">
        <f>+E14+E21+E35+E62</f>
        <v>1359391.7576768622</v>
      </c>
      <c r="F64" s="681"/>
      <c r="G64" s="680">
        <f>+G14+G21+G35+G62</f>
        <v>737233.56555554993</v>
      </c>
      <c r="H64" s="660">
        <f>+A64</f>
        <v>34</v>
      </c>
      <c r="I64" s="680">
        <f>+I14+I21+I35+I62</f>
        <v>622158.19212131226</v>
      </c>
    </row>
    <row r="65" spans="1:9" ht="10.8" thickTop="1">
      <c r="H65" s="660"/>
      <c r="I65" s="487"/>
    </row>
    <row r="66" spans="1:9">
      <c r="B66" s="660"/>
      <c r="D66" s="660"/>
      <c r="E66" s="673"/>
      <c r="F66" s="682"/>
      <c r="G66" s="673"/>
      <c r="H66" s="660"/>
      <c r="I66" s="487"/>
    </row>
    <row r="67" spans="1:9">
      <c r="B67" s="660"/>
      <c r="D67" s="660"/>
      <c r="E67" s="673"/>
      <c r="F67" s="682"/>
      <c r="G67" s="673"/>
      <c r="H67" s="660"/>
      <c r="I67" s="487"/>
    </row>
    <row r="68" spans="1:9">
      <c r="B68" s="660"/>
      <c r="C68" s="651" t="s">
        <v>826</v>
      </c>
      <c r="D68" s="679"/>
      <c r="E68" s="673"/>
      <c r="F68" s="682"/>
      <c r="G68" s="673"/>
      <c r="H68" s="660"/>
      <c r="I68" s="487"/>
    </row>
    <row r="69" spans="1:9">
      <c r="B69" s="660"/>
      <c r="C69" s="660" t="s">
        <v>22</v>
      </c>
      <c r="D69" s="679"/>
      <c r="E69" s="673"/>
      <c r="F69" s="682"/>
      <c r="G69" s="673"/>
      <c r="H69" s="660"/>
      <c r="I69" s="487"/>
    </row>
    <row r="70" spans="1:9">
      <c r="B70" s="660"/>
      <c r="D70" s="660"/>
      <c r="E70" s="673"/>
      <c r="F70" s="682"/>
      <c r="G70" s="673"/>
      <c r="H70" s="660"/>
      <c r="I70" s="487"/>
    </row>
    <row r="71" spans="1:9">
      <c r="A71" s="513" t="s">
        <v>1049</v>
      </c>
      <c r="B71" s="660"/>
      <c r="D71" s="660"/>
      <c r="E71" s="673"/>
      <c r="F71" s="682"/>
      <c r="G71" s="673"/>
      <c r="H71" s="660"/>
      <c r="I71" s="487"/>
    </row>
    <row r="72" spans="1:9">
      <c r="B72" s="660"/>
      <c r="D72" s="660"/>
      <c r="E72" s="673"/>
      <c r="F72" s="682"/>
      <c r="G72" s="673"/>
      <c r="H72" s="660"/>
      <c r="I72" s="487"/>
    </row>
    <row r="73" spans="1:9">
      <c r="A73" s="683" t="s">
        <v>835</v>
      </c>
      <c r="C73" s="487"/>
      <c r="I73" s="487"/>
    </row>
    <row r="74" spans="1:9">
      <c r="A74" s="487" t="s">
        <v>1050</v>
      </c>
      <c r="I74" s="487"/>
    </row>
    <row r="75" spans="1:9">
      <c r="I75" s="487"/>
    </row>
    <row r="76" spans="1:9">
      <c r="D76" s="624" t="s">
        <v>1026</v>
      </c>
      <c r="E76" s="490">
        <f>'Rate Base (RCN)'!F153</f>
        <v>1359391.7576768622</v>
      </c>
      <c r="F76" s="624"/>
      <c r="G76" s="490">
        <f>'Rate Base (RCN)'!F161</f>
        <v>737233.56555555027</v>
      </c>
      <c r="H76" s="624"/>
      <c r="I76" s="490">
        <f>'Rate Base (RCN)'!F157</f>
        <v>622158.19212131226</v>
      </c>
    </row>
    <row r="77" spans="1:9">
      <c r="D77" s="624" t="s">
        <v>3</v>
      </c>
      <c r="E77" s="684">
        <f>+E64-E76</f>
        <v>0</v>
      </c>
      <c r="F77" s="684"/>
      <c r="G77" s="684">
        <f>+G64-G76</f>
        <v>0</v>
      </c>
      <c r="H77" s="624"/>
      <c r="I77" s="684">
        <f>+I64-I76</f>
        <v>0</v>
      </c>
    </row>
  </sheetData>
  <mergeCells count="8">
    <mergeCell ref="A46:I46"/>
    <mergeCell ref="A47:I47"/>
    <mergeCell ref="A3:I3"/>
    <mergeCell ref="A4:I4"/>
    <mergeCell ref="A5:I5"/>
    <mergeCell ref="A6:I6"/>
    <mergeCell ref="A44:I44"/>
    <mergeCell ref="A45:I45"/>
  </mergeCells>
  <printOptions horizontalCentered="1"/>
  <pageMargins left="0.7" right="0.7" top="0.75" bottom="0.75" header="0.3" footer="0.3"/>
  <pageSetup fitToHeight="0" orientation="landscape" r:id="rId1"/>
  <rowBreaks count="1" manualBreakCount="1">
    <brk id="41" max="8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7549D-3008-4BBC-B014-F45460BD2C76}">
  <sheetPr>
    <tabColor rgb="FFFFFFCC"/>
  </sheetPr>
  <dimension ref="A1:X42"/>
  <sheetViews>
    <sheetView showGridLines="0" zoomScaleNormal="100" zoomScaleSheetLayoutView="100" workbookViewId="0"/>
  </sheetViews>
  <sheetFormatPr defaultColWidth="7.33203125" defaultRowHeight="10.199999999999999"/>
  <cols>
    <col min="1" max="1" width="3.88671875" style="156" customWidth="1"/>
    <col min="2" max="2" width="2.88671875" style="156" customWidth="1"/>
    <col min="3" max="3" width="22.5546875" style="156" customWidth="1"/>
    <col min="4" max="4" width="2.88671875" style="156" customWidth="1"/>
    <col min="5" max="5" width="10.88671875" style="156" customWidth="1"/>
    <col min="6" max="6" width="2.88671875" style="156" customWidth="1"/>
    <col min="7" max="7" width="10.88671875" style="156" customWidth="1"/>
    <col min="8" max="8" width="2.88671875" style="156" customWidth="1"/>
    <col min="9" max="9" width="10.88671875" style="156" customWidth="1"/>
    <col min="10" max="10" width="2.88671875" style="156" customWidth="1"/>
    <col min="11" max="12" width="3.88671875" style="156" customWidth="1"/>
    <col min="13" max="13" width="2.88671875" style="156" customWidth="1"/>
    <col min="14" max="14" width="29.88671875" style="156" customWidth="1"/>
    <col min="15" max="15" width="2.88671875" style="156" customWidth="1"/>
    <col min="16" max="16" width="9.44140625" style="156" customWidth="1"/>
    <col min="17" max="17" width="2.88671875" style="156" customWidth="1"/>
    <col min="18" max="18" width="9.33203125" style="156" customWidth="1"/>
    <col min="19" max="19" width="2.88671875" style="156" customWidth="1"/>
    <col min="20" max="20" width="9.109375" style="156" bestFit="1" customWidth="1"/>
    <col min="21" max="21" width="2.88671875" style="156" customWidth="1"/>
    <col min="22" max="22" width="9.44140625" style="156" customWidth="1"/>
    <col min="23" max="23" width="2.88671875" style="156" customWidth="1"/>
    <col min="24" max="24" width="3.88671875" style="156" customWidth="1"/>
    <col min="25" max="245" width="7.33203125" style="156"/>
    <col min="246" max="246" width="4.44140625" style="156" customWidth="1"/>
    <col min="247" max="247" width="2.88671875" style="156" customWidth="1"/>
    <col min="248" max="248" width="22.5546875" style="156" customWidth="1"/>
    <col min="249" max="249" width="4.44140625" style="156" customWidth="1"/>
    <col min="250" max="250" width="10.88671875" style="156" customWidth="1"/>
    <col min="251" max="251" width="4.44140625" style="156" customWidth="1"/>
    <col min="252" max="252" width="10.88671875" style="156" customWidth="1"/>
    <col min="253" max="253" width="4.44140625" style="156" customWidth="1"/>
    <col min="254" max="254" width="10.88671875" style="156" customWidth="1"/>
    <col min="255" max="255" width="3.5546875" style="156" customWidth="1"/>
    <col min="256" max="256" width="9.44140625" style="156" customWidth="1"/>
    <col min="257" max="257" width="2.88671875" style="156" customWidth="1"/>
    <col min="258" max="259" width="4.44140625" style="156" customWidth="1"/>
    <col min="260" max="260" width="2.88671875" style="156" customWidth="1"/>
    <col min="261" max="261" width="29.88671875" style="156" customWidth="1"/>
    <col min="262" max="262" width="4.44140625" style="156" customWidth="1"/>
    <col min="263" max="263" width="9.44140625" style="156" customWidth="1"/>
    <col min="264" max="264" width="2.109375" style="156" customWidth="1"/>
    <col min="265" max="265" width="9.33203125" style="156" customWidth="1"/>
    <col min="266" max="266" width="2.109375" style="156" customWidth="1"/>
    <col min="267" max="267" width="9.109375" style="156" bestFit="1" customWidth="1"/>
    <col min="268" max="268" width="2.109375" style="156" customWidth="1"/>
    <col min="269" max="269" width="9.44140625" style="156" customWidth="1"/>
    <col min="270" max="270" width="3.109375" style="156" customWidth="1"/>
    <col min="271" max="271" width="9.44140625" style="156" customWidth="1"/>
    <col min="272" max="272" width="2.88671875" style="156" customWidth="1"/>
    <col min="273" max="273" width="4.44140625" style="156" customWidth="1"/>
    <col min="274" max="274" width="2.88671875" style="156" customWidth="1"/>
    <col min="275" max="275" width="24" style="156" customWidth="1"/>
    <col min="276" max="276" width="18.88671875" style="156" customWidth="1"/>
    <col min="277" max="501" width="7.33203125" style="156"/>
    <col min="502" max="502" width="4.44140625" style="156" customWidth="1"/>
    <col min="503" max="503" width="2.88671875" style="156" customWidth="1"/>
    <col min="504" max="504" width="22.5546875" style="156" customWidth="1"/>
    <col min="505" max="505" width="4.44140625" style="156" customWidth="1"/>
    <col min="506" max="506" width="10.88671875" style="156" customWidth="1"/>
    <col min="507" max="507" width="4.44140625" style="156" customWidth="1"/>
    <col min="508" max="508" width="10.88671875" style="156" customWidth="1"/>
    <col min="509" max="509" width="4.44140625" style="156" customWidth="1"/>
    <col min="510" max="510" width="10.88671875" style="156" customWidth="1"/>
    <col min="511" max="511" width="3.5546875" style="156" customWidth="1"/>
    <col min="512" max="512" width="9.44140625" style="156" customWidth="1"/>
    <col min="513" max="513" width="2.88671875" style="156" customWidth="1"/>
    <col min="514" max="515" width="4.44140625" style="156" customWidth="1"/>
    <col min="516" max="516" width="2.88671875" style="156" customWidth="1"/>
    <col min="517" max="517" width="29.88671875" style="156" customWidth="1"/>
    <col min="518" max="518" width="4.44140625" style="156" customWidth="1"/>
    <col min="519" max="519" width="9.44140625" style="156" customWidth="1"/>
    <col min="520" max="520" width="2.109375" style="156" customWidth="1"/>
    <col min="521" max="521" width="9.33203125" style="156" customWidth="1"/>
    <col min="522" max="522" width="2.109375" style="156" customWidth="1"/>
    <col min="523" max="523" width="9.109375" style="156" bestFit="1" customWidth="1"/>
    <col min="524" max="524" width="2.109375" style="156" customWidth="1"/>
    <col min="525" max="525" width="9.44140625" style="156" customWidth="1"/>
    <col min="526" max="526" width="3.109375" style="156" customWidth="1"/>
    <col min="527" max="527" width="9.44140625" style="156" customWidth="1"/>
    <col min="528" max="528" width="2.88671875" style="156" customWidth="1"/>
    <col min="529" max="529" width="4.44140625" style="156" customWidth="1"/>
    <col min="530" max="530" width="2.88671875" style="156" customWidth="1"/>
    <col min="531" max="531" width="24" style="156" customWidth="1"/>
    <col min="532" max="532" width="18.88671875" style="156" customWidth="1"/>
    <col min="533" max="757" width="7.33203125" style="156"/>
    <col min="758" max="758" width="4.44140625" style="156" customWidth="1"/>
    <col min="759" max="759" width="2.88671875" style="156" customWidth="1"/>
    <col min="760" max="760" width="22.5546875" style="156" customWidth="1"/>
    <col min="761" max="761" width="4.44140625" style="156" customWidth="1"/>
    <col min="762" max="762" width="10.88671875" style="156" customWidth="1"/>
    <col min="763" max="763" width="4.44140625" style="156" customWidth="1"/>
    <col min="764" max="764" width="10.88671875" style="156" customWidth="1"/>
    <col min="765" max="765" width="4.44140625" style="156" customWidth="1"/>
    <col min="766" max="766" width="10.88671875" style="156" customWidth="1"/>
    <col min="767" max="767" width="3.5546875" style="156" customWidth="1"/>
    <col min="768" max="768" width="9.44140625" style="156" customWidth="1"/>
    <col min="769" max="769" width="2.88671875" style="156" customWidth="1"/>
    <col min="770" max="771" width="4.44140625" style="156" customWidth="1"/>
    <col min="772" max="772" width="2.88671875" style="156" customWidth="1"/>
    <col min="773" max="773" width="29.88671875" style="156" customWidth="1"/>
    <col min="774" max="774" width="4.44140625" style="156" customWidth="1"/>
    <col min="775" max="775" width="9.44140625" style="156" customWidth="1"/>
    <col min="776" max="776" width="2.109375" style="156" customWidth="1"/>
    <col min="777" max="777" width="9.33203125" style="156" customWidth="1"/>
    <col min="778" max="778" width="2.109375" style="156" customWidth="1"/>
    <col min="779" max="779" width="9.109375" style="156" bestFit="1" customWidth="1"/>
    <col min="780" max="780" width="2.109375" style="156" customWidth="1"/>
    <col min="781" max="781" width="9.44140625" style="156" customWidth="1"/>
    <col min="782" max="782" width="3.109375" style="156" customWidth="1"/>
    <col min="783" max="783" width="9.44140625" style="156" customWidth="1"/>
    <col min="784" max="784" width="2.88671875" style="156" customWidth="1"/>
    <col min="785" max="785" width="4.44140625" style="156" customWidth="1"/>
    <col min="786" max="786" width="2.88671875" style="156" customWidth="1"/>
    <col min="787" max="787" width="24" style="156" customWidth="1"/>
    <col min="788" max="788" width="18.88671875" style="156" customWidth="1"/>
    <col min="789" max="1013" width="7.33203125" style="156"/>
    <col min="1014" max="1014" width="4.44140625" style="156" customWidth="1"/>
    <col min="1015" max="1015" width="2.88671875" style="156" customWidth="1"/>
    <col min="1016" max="1016" width="22.5546875" style="156" customWidth="1"/>
    <col min="1017" max="1017" width="4.44140625" style="156" customWidth="1"/>
    <col min="1018" max="1018" width="10.88671875" style="156" customWidth="1"/>
    <col min="1019" max="1019" width="4.44140625" style="156" customWidth="1"/>
    <col min="1020" max="1020" width="10.88671875" style="156" customWidth="1"/>
    <col min="1021" max="1021" width="4.44140625" style="156" customWidth="1"/>
    <col min="1022" max="1022" width="10.88671875" style="156" customWidth="1"/>
    <col min="1023" max="1023" width="3.5546875" style="156" customWidth="1"/>
    <col min="1024" max="1024" width="9.44140625" style="156" customWidth="1"/>
    <col min="1025" max="1025" width="2.88671875" style="156" customWidth="1"/>
    <col min="1026" max="1027" width="4.44140625" style="156" customWidth="1"/>
    <col min="1028" max="1028" width="2.88671875" style="156" customWidth="1"/>
    <col min="1029" max="1029" width="29.88671875" style="156" customWidth="1"/>
    <col min="1030" max="1030" width="4.44140625" style="156" customWidth="1"/>
    <col min="1031" max="1031" width="9.44140625" style="156" customWidth="1"/>
    <col min="1032" max="1032" width="2.109375" style="156" customWidth="1"/>
    <col min="1033" max="1033" width="9.33203125" style="156" customWidth="1"/>
    <col min="1034" max="1034" width="2.109375" style="156" customWidth="1"/>
    <col min="1035" max="1035" width="9.109375" style="156" bestFit="1" customWidth="1"/>
    <col min="1036" max="1036" width="2.109375" style="156" customWidth="1"/>
    <col min="1037" max="1037" width="9.44140625" style="156" customWidth="1"/>
    <col min="1038" max="1038" width="3.109375" style="156" customWidth="1"/>
    <col min="1039" max="1039" width="9.44140625" style="156" customWidth="1"/>
    <col min="1040" max="1040" width="2.88671875" style="156" customWidth="1"/>
    <col min="1041" max="1041" width="4.44140625" style="156" customWidth="1"/>
    <col min="1042" max="1042" width="2.88671875" style="156" customWidth="1"/>
    <col min="1043" max="1043" width="24" style="156" customWidth="1"/>
    <col min="1044" max="1044" width="18.88671875" style="156" customWidth="1"/>
    <col min="1045" max="1269" width="7.33203125" style="156"/>
    <col min="1270" max="1270" width="4.44140625" style="156" customWidth="1"/>
    <col min="1271" max="1271" width="2.88671875" style="156" customWidth="1"/>
    <col min="1272" max="1272" width="22.5546875" style="156" customWidth="1"/>
    <col min="1273" max="1273" width="4.44140625" style="156" customWidth="1"/>
    <col min="1274" max="1274" width="10.88671875" style="156" customWidth="1"/>
    <col min="1275" max="1275" width="4.44140625" style="156" customWidth="1"/>
    <col min="1276" max="1276" width="10.88671875" style="156" customWidth="1"/>
    <col min="1277" max="1277" width="4.44140625" style="156" customWidth="1"/>
    <col min="1278" max="1278" width="10.88671875" style="156" customWidth="1"/>
    <col min="1279" max="1279" width="3.5546875" style="156" customWidth="1"/>
    <col min="1280" max="1280" width="9.44140625" style="156" customWidth="1"/>
    <col min="1281" max="1281" width="2.88671875" style="156" customWidth="1"/>
    <col min="1282" max="1283" width="4.44140625" style="156" customWidth="1"/>
    <col min="1284" max="1284" width="2.88671875" style="156" customWidth="1"/>
    <col min="1285" max="1285" width="29.88671875" style="156" customWidth="1"/>
    <col min="1286" max="1286" width="4.44140625" style="156" customWidth="1"/>
    <col min="1287" max="1287" width="9.44140625" style="156" customWidth="1"/>
    <col min="1288" max="1288" width="2.109375" style="156" customWidth="1"/>
    <col min="1289" max="1289" width="9.33203125" style="156" customWidth="1"/>
    <col min="1290" max="1290" width="2.109375" style="156" customWidth="1"/>
    <col min="1291" max="1291" width="9.109375" style="156" bestFit="1" customWidth="1"/>
    <col min="1292" max="1292" width="2.109375" style="156" customWidth="1"/>
    <col min="1293" max="1293" width="9.44140625" style="156" customWidth="1"/>
    <col min="1294" max="1294" width="3.109375" style="156" customWidth="1"/>
    <col min="1295" max="1295" width="9.44140625" style="156" customWidth="1"/>
    <col min="1296" max="1296" width="2.88671875" style="156" customWidth="1"/>
    <col min="1297" max="1297" width="4.44140625" style="156" customWidth="1"/>
    <col min="1298" max="1298" width="2.88671875" style="156" customWidth="1"/>
    <col min="1299" max="1299" width="24" style="156" customWidth="1"/>
    <col min="1300" max="1300" width="18.88671875" style="156" customWidth="1"/>
    <col min="1301" max="1525" width="7.33203125" style="156"/>
    <col min="1526" max="1526" width="4.44140625" style="156" customWidth="1"/>
    <col min="1527" max="1527" width="2.88671875" style="156" customWidth="1"/>
    <col min="1528" max="1528" width="22.5546875" style="156" customWidth="1"/>
    <col min="1529" max="1529" width="4.44140625" style="156" customWidth="1"/>
    <col min="1530" max="1530" width="10.88671875" style="156" customWidth="1"/>
    <col min="1531" max="1531" width="4.44140625" style="156" customWidth="1"/>
    <col min="1532" max="1532" width="10.88671875" style="156" customWidth="1"/>
    <col min="1533" max="1533" width="4.44140625" style="156" customWidth="1"/>
    <col min="1534" max="1534" width="10.88671875" style="156" customWidth="1"/>
    <col min="1535" max="1535" width="3.5546875" style="156" customWidth="1"/>
    <col min="1536" max="1536" width="9.44140625" style="156" customWidth="1"/>
    <col min="1537" max="1537" width="2.88671875" style="156" customWidth="1"/>
    <col min="1538" max="1539" width="4.44140625" style="156" customWidth="1"/>
    <col min="1540" max="1540" width="2.88671875" style="156" customWidth="1"/>
    <col min="1541" max="1541" width="29.88671875" style="156" customWidth="1"/>
    <col min="1542" max="1542" width="4.44140625" style="156" customWidth="1"/>
    <col min="1543" max="1543" width="9.44140625" style="156" customWidth="1"/>
    <col min="1544" max="1544" width="2.109375" style="156" customWidth="1"/>
    <col min="1545" max="1545" width="9.33203125" style="156" customWidth="1"/>
    <col min="1546" max="1546" width="2.109375" style="156" customWidth="1"/>
    <col min="1547" max="1547" width="9.109375" style="156" bestFit="1" customWidth="1"/>
    <col min="1548" max="1548" width="2.109375" style="156" customWidth="1"/>
    <col min="1549" max="1549" width="9.44140625" style="156" customWidth="1"/>
    <col min="1550" max="1550" width="3.109375" style="156" customWidth="1"/>
    <col min="1551" max="1551" width="9.44140625" style="156" customWidth="1"/>
    <col min="1552" max="1552" width="2.88671875" style="156" customWidth="1"/>
    <col min="1553" max="1553" width="4.44140625" style="156" customWidth="1"/>
    <col min="1554" max="1554" width="2.88671875" style="156" customWidth="1"/>
    <col min="1555" max="1555" width="24" style="156" customWidth="1"/>
    <col min="1556" max="1556" width="18.88671875" style="156" customWidth="1"/>
    <col min="1557" max="1781" width="7.33203125" style="156"/>
    <col min="1782" max="1782" width="4.44140625" style="156" customWidth="1"/>
    <col min="1783" max="1783" width="2.88671875" style="156" customWidth="1"/>
    <col min="1784" max="1784" width="22.5546875" style="156" customWidth="1"/>
    <col min="1785" max="1785" width="4.44140625" style="156" customWidth="1"/>
    <col min="1786" max="1786" width="10.88671875" style="156" customWidth="1"/>
    <col min="1787" max="1787" width="4.44140625" style="156" customWidth="1"/>
    <col min="1788" max="1788" width="10.88671875" style="156" customWidth="1"/>
    <col min="1789" max="1789" width="4.44140625" style="156" customWidth="1"/>
    <col min="1790" max="1790" width="10.88671875" style="156" customWidth="1"/>
    <col min="1791" max="1791" width="3.5546875" style="156" customWidth="1"/>
    <col min="1792" max="1792" width="9.44140625" style="156" customWidth="1"/>
    <col min="1793" max="1793" width="2.88671875" style="156" customWidth="1"/>
    <col min="1794" max="1795" width="4.44140625" style="156" customWidth="1"/>
    <col min="1796" max="1796" width="2.88671875" style="156" customWidth="1"/>
    <col min="1797" max="1797" width="29.88671875" style="156" customWidth="1"/>
    <col min="1798" max="1798" width="4.44140625" style="156" customWidth="1"/>
    <col min="1799" max="1799" width="9.44140625" style="156" customWidth="1"/>
    <col min="1800" max="1800" width="2.109375" style="156" customWidth="1"/>
    <col min="1801" max="1801" width="9.33203125" style="156" customWidth="1"/>
    <col min="1802" max="1802" width="2.109375" style="156" customWidth="1"/>
    <col min="1803" max="1803" width="9.109375" style="156" bestFit="1" customWidth="1"/>
    <col min="1804" max="1804" width="2.109375" style="156" customWidth="1"/>
    <col min="1805" max="1805" width="9.44140625" style="156" customWidth="1"/>
    <col min="1806" max="1806" width="3.109375" style="156" customWidth="1"/>
    <col min="1807" max="1807" width="9.44140625" style="156" customWidth="1"/>
    <col min="1808" max="1808" width="2.88671875" style="156" customWidth="1"/>
    <col min="1809" max="1809" width="4.44140625" style="156" customWidth="1"/>
    <col min="1810" max="1810" width="2.88671875" style="156" customWidth="1"/>
    <col min="1811" max="1811" width="24" style="156" customWidth="1"/>
    <col min="1812" max="1812" width="18.88671875" style="156" customWidth="1"/>
    <col min="1813" max="2037" width="7.33203125" style="156"/>
    <col min="2038" max="2038" width="4.44140625" style="156" customWidth="1"/>
    <col min="2039" max="2039" width="2.88671875" style="156" customWidth="1"/>
    <col min="2040" max="2040" width="22.5546875" style="156" customWidth="1"/>
    <col min="2041" max="2041" width="4.44140625" style="156" customWidth="1"/>
    <col min="2042" max="2042" width="10.88671875" style="156" customWidth="1"/>
    <col min="2043" max="2043" width="4.44140625" style="156" customWidth="1"/>
    <col min="2044" max="2044" width="10.88671875" style="156" customWidth="1"/>
    <col min="2045" max="2045" width="4.44140625" style="156" customWidth="1"/>
    <col min="2046" max="2046" width="10.88671875" style="156" customWidth="1"/>
    <col min="2047" max="2047" width="3.5546875" style="156" customWidth="1"/>
    <col min="2048" max="2048" width="9.44140625" style="156" customWidth="1"/>
    <col min="2049" max="2049" width="2.88671875" style="156" customWidth="1"/>
    <col min="2050" max="2051" width="4.44140625" style="156" customWidth="1"/>
    <col min="2052" max="2052" width="2.88671875" style="156" customWidth="1"/>
    <col min="2053" max="2053" width="29.88671875" style="156" customWidth="1"/>
    <col min="2054" max="2054" width="4.44140625" style="156" customWidth="1"/>
    <col min="2055" max="2055" width="9.44140625" style="156" customWidth="1"/>
    <col min="2056" max="2056" width="2.109375" style="156" customWidth="1"/>
    <col min="2057" max="2057" width="9.33203125" style="156" customWidth="1"/>
    <col min="2058" max="2058" width="2.109375" style="156" customWidth="1"/>
    <col min="2059" max="2059" width="9.109375" style="156" bestFit="1" customWidth="1"/>
    <col min="2060" max="2060" width="2.109375" style="156" customWidth="1"/>
    <col min="2061" max="2061" width="9.44140625" style="156" customWidth="1"/>
    <col min="2062" max="2062" width="3.109375" style="156" customWidth="1"/>
    <col min="2063" max="2063" width="9.44140625" style="156" customWidth="1"/>
    <col min="2064" max="2064" width="2.88671875" style="156" customWidth="1"/>
    <col min="2065" max="2065" width="4.44140625" style="156" customWidth="1"/>
    <col min="2066" max="2066" width="2.88671875" style="156" customWidth="1"/>
    <col min="2067" max="2067" width="24" style="156" customWidth="1"/>
    <col min="2068" max="2068" width="18.88671875" style="156" customWidth="1"/>
    <col min="2069" max="2293" width="7.33203125" style="156"/>
    <col min="2294" max="2294" width="4.44140625" style="156" customWidth="1"/>
    <col min="2295" max="2295" width="2.88671875" style="156" customWidth="1"/>
    <col min="2296" max="2296" width="22.5546875" style="156" customWidth="1"/>
    <col min="2297" max="2297" width="4.44140625" style="156" customWidth="1"/>
    <col min="2298" max="2298" width="10.88671875" style="156" customWidth="1"/>
    <col min="2299" max="2299" width="4.44140625" style="156" customWidth="1"/>
    <col min="2300" max="2300" width="10.88671875" style="156" customWidth="1"/>
    <col min="2301" max="2301" width="4.44140625" style="156" customWidth="1"/>
    <col min="2302" max="2302" width="10.88671875" style="156" customWidth="1"/>
    <col min="2303" max="2303" width="3.5546875" style="156" customWidth="1"/>
    <col min="2304" max="2304" width="9.44140625" style="156" customWidth="1"/>
    <col min="2305" max="2305" width="2.88671875" style="156" customWidth="1"/>
    <col min="2306" max="2307" width="4.44140625" style="156" customWidth="1"/>
    <col min="2308" max="2308" width="2.88671875" style="156" customWidth="1"/>
    <col min="2309" max="2309" width="29.88671875" style="156" customWidth="1"/>
    <col min="2310" max="2310" width="4.44140625" style="156" customWidth="1"/>
    <col min="2311" max="2311" width="9.44140625" style="156" customWidth="1"/>
    <col min="2312" max="2312" width="2.109375" style="156" customWidth="1"/>
    <col min="2313" max="2313" width="9.33203125" style="156" customWidth="1"/>
    <col min="2314" max="2314" width="2.109375" style="156" customWidth="1"/>
    <col min="2315" max="2315" width="9.109375" style="156" bestFit="1" customWidth="1"/>
    <col min="2316" max="2316" width="2.109375" style="156" customWidth="1"/>
    <col min="2317" max="2317" width="9.44140625" style="156" customWidth="1"/>
    <col min="2318" max="2318" width="3.109375" style="156" customWidth="1"/>
    <col min="2319" max="2319" width="9.44140625" style="156" customWidth="1"/>
    <col min="2320" max="2320" width="2.88671875" style="156" customWidth="1"/>
    <col min="2321" max="2321" width="4.44140625" style="156" customWidth="1"/>
    <col min="2322" max="2322" width="2.88671875" style="156" customWidth="1"/>
    <col min="2323" max="2323" width="24" style="156" customWidth="1"/>
    <col min="2324" max="2324" width="18.88671875" style="156" customWidth="1"/>
    <col min="2325" max="2549" width="7.33203125" style="156"/>
    <col min="2550" max="2550" width="4.44140625" style="156" customWidth="1"/>
    <col min="2551" max="2551" width="2.88671875" style="156" customWidth="1"/>
    <col min="2552" max="2552" width="22.5546875" style="156" customWidth="1"/>
    <col min="2553" max="2553" width="4.44140625" style="156" customWidth="1"/>
    <col min="2554" max="2554" width="10.88671875" style="156" customWidth="1"/>
    <col min="2555" max="2555" width="4.44140625" style="156" customWidth="1"/>
    <col min="2556" max="2556" width="10.88671875" style="156" customWidth="1"/>
    <col min="2557" max="2557" width="4.44140625" style="156" customWidth="1"/>
    <col min="2558" max="2558" width="10.88671875" style="156" customWidth="1"/>
    <col min="2559" max="2559" width="3.5546875" style="156" customWidth="1"/>
    <col min="2560" max="2560" width="9.44140625" style="156" customWidth="1"/>
    <col min="2561" max="2561" width="2.88671875" style="156" customWidth="1"/>
    <col min="2562" max="2563" width="4.44140625" style="156" customWidth="1"/>
    <col min="2564" max="2564" width="2.88671875" style="156" customWidth="1"/>
    <col min="2565" max="2565" width="29.88671875" style="156" customWidth="1"/>
    <col min="2566" max="2566" width="4.44140625" style="156" customWidth="1"/>
    <col min="2567" max="2567" width="9.44140625" style="156" customWidth="1"/>
    <col min="2568" max="2568" width="2.109375" style="156" customWidth="1"/>
    <col min="2569" max="2569" width="9.33203125" style="156" customWidth="1"/>
    <col min="2570" max="2570" width="2.109375" style="156" customWidth="1"/>
    <col min="2571" max="2571" width="9.109375" style="156" bestFit="1" customWidth="1"/>
    <col min="2572" max="2572" width="2.109375" style="156" customWidth="1"/>
    <col min="2573" max="2573" width="9.44140625" style="156" customWidth="1"/>
    <col min="2574" max="2574" width="3.109375" style="156" customWidth="1"/>
    <col min="2575" max="2575" width="9.44140625" style="156" customWidth="1"/>
    <col min="2576" max="2576" width="2.88671875" style="156" customWidth="1"/>
    <col min="2577" max="2577" width="4.44140625" style="156" customWidth="1"/>
    <col min="2578" max="2578" width="2.88671875" style="156" customWidth="1"/>
    <col min="2579" max="2579" width="24" style="156" customWidth="1"/>
    <col min="2580" max="2580" width="18.88671875" style="156" customWidth="1"/>
    <col min="2581" max="2805" width="7.33203125" style="156"/>
    <col min="2806" max="2806" width="4.44140625" style="156" customWidth="1"/>
    <col min="2807" max="2807" width="2.88671875" style="156" customWidth="1"/>
    <col min="2808" max="2808" width="22.5546875" style="156" customWidth="1"/>
    <col min="2809" max="2809" width="4.44140625" style="156" customWidth="1"/>
    <col min="2810" max="2810" width="10.88671875" style="156" customWidth="1"/>
    <col min="2811" max="2811" width="4.44140625" style="156" customWidth="1"/>
    <col min="2812" max="2812" width="10.88671875" style="156" customWidth="1"/>
    <col min="2813" max="2813" width="4.44140625" style="156" customWidth="1"/>
    <col min="2814" max="2814" width="10.88671875" style="156" customWidth="1"/>
    <col min="2815" max="2815" width="3.5546875" style="156" customWidth="1"/>
    <col min="2816" max="2816" width="9.44140625" style="156" customWidth="1"/>
    <col min="2817" max="2817" width="2.88671875" style="156" customWidth="1"/>
    <col min="2818" max="2819" width="4.44140625" style="156" customWidth="1"/>
    <col min="2820" max="2820" width="2.88671875" style="156" customWidth="1"/>
    <col min="2821" max="2821" width="29.88671875" style="156" customWidth="1"/>
    <col min="2822" max="2822" width="4.44140625" style="156" customWidth="1"/>
    <col min="2823" max="2823" width="9.44140625" style="156" customWidth="1"/>
    <col min="2824" max="2824" width="2.109375" style="156" customWidth="1"/>
    <col min="2825" max="2825" width="9.33203125" style="156" customWidth="1"/>
    <col min="2826" max="2826" width="2.109375" style="156" customWidth="1"/>
    <col min="2827" max="2827" width="9.109375" style="156" bestFit="1" customWidth="1"/>
    <col min="2828" max="2828" width="2.109375" style="156" customWidth="1"/>
    <col min="2829" max="2829" width="9.44140625" style="156" customWidth="1"/>
    <col min="2830" max="2830" width="3.109375" style="156" customWidth="1"/>
    <col min="2831" max="2831" width="9.44140625" style="156" customWidth="1"/>
    <col min="2832" max="2832" width="2.88671875" style="156" customWidth="1"/>
    <col min="2833" max="2833" width="4.44140625" style="156" customWidth="1"/>
    <col min="2834" max="2834" width="2.88671875" style="156" customWidth="1"/>
    <col min="2835" max="2835" width="24" style="156" customWidth="1"/>
    <col min="2836" max="2836" width="18.88671875" style="156" customWidth="1"/>
    <col min="2837" max="3061" width="7.33203125" style="156"/>
    <col min="3062" max="3062" width="4.44140625" style="156" customWidth="1"/>
    <col min="3063" max="3063" width="2.88671875" style="156" customWidth="1"/>
    <col min="3064" max="3064" width="22.5546875" style="156" customWidth="1"/>
    <col min="3065" max="3065" width="4.44140625" style="156" customWidth="1"/>
    <col min="3066" max="3066" width="10.88671875" style="156" customWidth="1"/>
    <col min="3067" max="3067" width="4.44140625" style="156" customWidth="1"/>
    <col min="3068" max="3068" width="10.88671875" style="156" customWidth="1"/>
    <col min="3069" max="3069" width="4.44140625" style="156" customWidth="1"/>
    <col min="3070" max="3070" width="10.88671875" style="156" customWidth="1"/>
    <col min="3071" max="3071" width="3.5546875" style="156" customWidth="1"/>
    <col min="3072" max="3072" width="9.44140625" style="156" customWidth="1"/>
    <col min="3073" max="3073" width="2.88671875" style="156" customWidth="1"/>
    <col min="3074" max="3075" width="4.44140625" style="156" customWidth="1"/>
    <col min="3076" max="3076" width="2.88671875" style="156" customWidth="1"/>
    <col min="3077" max="3077" width="29.88671875" style="156" customWidth="1"/>
    <col min="3078" max="3078" width="4.44140625" style="156" customWidth="1"/>
    <col min="3079" max="3079" width="9.44140625" style="156" customWidth="1"/>
    <col min="3080" max="3080" width="2.109375" style="156" customWidth="1"/>
    <col min="3081" max="3081" width="9.33203125" style="156" customWidth="1"/>
    <col min="3082" max="3082" width="2.109375" style="156" customWidth="1"/>
    <col min="3083" max="3083" width="9.109375" style="156" bestFit="1" customWidth="1"/>
    <col min="3084" max="3084" width="2.109375" style="156" customWidth="1"/>
    <col min="3085" max="3085" width="9.44140625" style="156" customWidth="1"/>
    <col min="3086" max="3086" width="3.109375" style="156" customWidth="1"/>
    <col min="3087" max="3087" width="9.44140625" style="156" customWidth="1"/>
    <col min="3088" max="3088" width="2.88671875" style="156" customWidth="1"/>
    <col min="3089" max="3089" width="4.44140625" style="156" customWidth="1"/>
    <col min="3090" max="3090" width="2.88671875" style="156" customWidth="1"/>
    <col min="3091" max="3091" width="24" style="156" customWidth="1"/>
    <col min="3092" max="3092" width="18.88671875" style="156" customWidth="1"/>
    <col min="3093" max="3317" width="7.33203125" style="156"/>
    <col min="3318" max="3318" width="4.44140625" style="156" customWidth="1"/>
    <col min="3319" max="3319" width="2.88671875" style="156" customWidth="1"/>
    <col min="3320" max="3320" width="22.5546875" style="156" customWidth="1"/>
    <col min="3321" max="3321" width="4.44140625" style="156" customWidth="1"/>
    <col min="3322" max="3322" width="10.88671875" style="156" customWidth="1"/>
    <col min="3323" max="3323" width="4.44140625" style="156" customWidth="1"/>
    <col min="3324" max="3324" width="10.88671875" style="156" customWidth="1"/>
    <col min="3325" max="3325" width="4.44140625" style="156" customWidth="1"/>
    <col min="3326" max="3326" width="10.88671875" style="156" customWidth="1"/>
    <col min="3327" max="3327" width="3.5546875" style="156" customWidth="1"/>
    <col min="3328" max="3328" width="9.44140625" style="156" customWidth="1"/>
    <col min="3329" max="3329" width="2.88671875" style="156" customWidth="1"/>
    <col min="3330" max="3331" width="4.44140625" style="156" customWidth="1"/>
    <col min="3332" max="3332" width="2.88671875" style="156" customWidth="1"/>
    <col min="3333" max="3333" width="29.88671875" style="156" customWidth="1"/>
    <col min="3334" max="3334" width="4.44140625" style="156" customWidth="1"/>
    <col min="3335" max="3335" width="9.44140625" style="156" customWidth="1"/>
    <col min="3336" max="3336" width="2.109375" style="156" customWidth="1"/>
    <col min="3337" max="3337" width="9.33203125" style="156" customWidth="1"/>
    <col min="3338" max="3338" width="2.109375" style="156" customWidth="1"/>
    <col min="3339" max="3339" width="9.109375" style="156" bestFit="1" customWidth="1"/>
    <col min="3340" max="3340" width="2.109375" style="156" customWidth="1"/>
    <col min="3341" max="3341" width="9.44140625" style="156" customWidth="1"/>
    <col min="3342" max="3342" width="3.109375" style="156" customWidth="1"/>
    <col min="3343" max="3343" width="9.44140625" style="156" customWidth="1"/>
    <col min="3344" max="3344" width="2.88671875" style="156" customWidth="1"/>
    <col min="3345" max="3345" width="4.44140625" style="156" customWidth="1"/>
    <col min="3346" max="3346" width="2.88671875" style="156" customWidth="1"/>
    <col min="3347" max="3347" width="24" style="156" customWidth="1"/>
    <col min="3348" max="3348" width="18.88671875" style="156" customWidth="1"/>
    <col min="3349" max="3573" width="7.33203125" style="156"/>
    <col min="3574" max="3574" width="4.44140625" style="156" customWidth="1"/>
    <col min="3575" max="3575" width="2.88671875" style="156" customWidth="1"/>
    <col min="3576" max="3576" width="22.5546875" style="156" customWidth="1"/>
    <col min="3577" max="3577" width="4.44140625" style="156" customWidth="1"/>
    <col min="3578" max="3578" width="10.88671875" style="156" customWidth="1"/>
    <col min="3579" max="3579" width="4.44140625" style="156" customWidth="1"/>
    <col min="3580" max="3580" width="10.88671875" style="156" customWidth="1"/>
    <col min="3581" max="3581" width="4.44140625" style="156" customWidth="1"/>
    <col min="3582" max="3582" width="10.88671875" style="156" customWidth="1"/>
    <col min="3583" max="3583" width="3.5546875" style="156" customWidth="1"/>
    <col min="3584" max="3584" width="9.44140625" style="156" customWidth="1"/>
    <col min="3585" max="3585" width="2.88671875" style="156" customWidth="1"/>
    <col min="3586" max="3587" width="4.44140625" style="156" customWidth="1"/>
    <col min="3588" max="3588" width="2.88671875" style="156" customWidth="1"/>
    <col min="3589" max="3589" width="29.88671875" style="156" customWidth="1"/>
    <col min="3590" max="3590" width="4.44140625" style="156" customWidth="1"/>
    <col min="3591" max="3591" width="9.44140625" style="156" customWidth="1"/>
    <col min="3592" max="3592" width="2.109375" style="156" customWidth="1"/>
    <col min="3593" max="3593" width="9.33203125" style="156" customWidth="1"/>
    <col min="3594" max="3594" width="2.109375" style="156" customWidth="1"/>
    <col min="3595" max="3595" width="9.109375" style="156" bestFit="1" customWidth="1"/>
    <col min="3596" max="3596" width="2.109375" style="156" customWidth="1"/>
    <col min="3597" max="3597" width="9.44140625" style="156" customWidth="1"/>
    <col min="3598" max="3598" width="3.109375" style="156" customWidth="1"/>
    <col min="3599" max="3599" width="9.44140625" style="156" customWidth="1"/>
    <col min="3600" max="3600" width="2.88671875" style="156" customWidth="1"/>
    <col min="3601" max="3601" width="4.44140625" style="156" customWidth="1"/>
    <col min="3602" max="3602" width="2.88671875" style="156" customWidth="1"/>
    <col min="3603" max="3603" width="24" style="156" customWidth="1"/>
    <col min="3604" max="3604" width="18.88671875" style="156" customWidth="1"/>
    <col min="3605" max="3829" width="7.33203125" style="156"/>
    <col min="3830" max="3830" width="4.44140625" style="156" customWidth="1"/>
    <col min="3831" max="3831" width="2.88671875" style="156" customWidth="1"/>
    <col min="3832" max="3832" width="22.5546875" style="156" customWidth="1"/>
    <col min="3833" max="3833" width="4.44140625" style="156" customWidth="1"/>
    <col min="3834" max="3834" width="10.88671875" style="156" customWidth="1"/>
    <col min="3835" max="3835" width="4.44140625" style="156" customWidth="1"/>
    <col min="3836" max="3836" width="10.88671875" style="156" customWidth="1"/>
    <col min="3837" max="3837" width="4.44140625" style="156" customWidth="1"/>
    <col min="3838" max="3838" width="10.88671875" style="156" customWidth="1"/>
    <col min="3839" max="3839" width="3.5546875" style="156" customWidth="1"/>
    <col min="3840" max="3840" width="9.44140625" style="156" customWidth="1"/>
    <col min="3841" max="3841" width="2.88671875" style="156" customWidth="1"/>
    <col min="3842" max="3843" width="4.44140625" style="156" customWidth="1"/>
    <col min="3844" max="3844" width="2.88671875" style="156" customWidth="1"/>
    <col min="3845" max="3845" width="29.88671875" style="156" customWidth="1"/>
    <col min="3846" max="3846" width="4.44140625" style="156" customWidth="1"/>
    <col min="3847" max="3847" width="9.44140625" style="156" customWidth="1"/>
    <col min="3848" max="3848" width="2.109375" style="156" customWidth="1"/>
    <col min="3849" max="3849" width="9.33203125" style="156" customWidth="1"/>
    <col min="3850" max="3850" width="2.109375" style="156" customWidth="1"/>
    <col min="3851" max="3851" width="9.109375" style="156" bestFit="1" customWidth="1"/>
    <col min="3852" max="3852" width="2.109375" style="156" customWidth="1"/>
    <col min="3853" max="3853" width="9.44140625" style="156" customWidth="1"/>
    <col min="3854" max="3854" width="3.109375" style="156" customWidth="1"/>
    <col min="3855" max="3855" width="9.44140625" style="156" customWidth="1"/>
    <col min="3856" max="3856" width="2.88671875" style="156" customWidth="1"/>
    <col min="3857" max="3857" width="4.44140625" style="156" customWidth="1"/>
    <col min="3858" max="3858" width="2.88671875" style="156" customWidth="1"/>
    <col min="3859" max="3859" width="24" style="156" customWidth="1"/>
    <col min="3860" max="3860" width="18.88671875" style="156" customWidth="1"/>
    <col min="3861" max="4085" width="7.33203125" style="156"/>
    <col min="4086" max="4086" width="4.44140625" style="156" customWidth="1"/>
    <col min="4087" max="4087" width="2.88671875" style="156" customWidth="1"/>
    <col min="4088" max="4088" width="22.5546875" style="156" customWidth="1"/>
    <col min="4089" max="4089" width="4.44140625" style="156" customWidth="1"/>
    <col min="4090" max="4090" width="10.88671875" style="156" customWidth="1"/>
    <col min="4091" max="4091" width="4.44140625" style="156" customWidth="1"/>
    <col min="4092" max="4092" width="10.88671875" style="156" customWidth="1"/>
    <col min="4093" max="4093" width="4.44140625" style="156" customWidth="1"/>
    <col min="4094" max="4094" width="10.88671875" style="156" customWidth="1"/>
    <col min="4095" max="4095" width="3.5546875" style="156" customWidth="1"/>
    <col min="4096" max="4096" width="9.44140625" style="156" customWidth="1"/>
    <col min="4097" max="4097" width="2.88671875" style="156" customWidth="1"/>
    <col min="4098" max="4099" width="4.44140625" style="156" customWidth="1"/>
    <col min="4100" max="4100" width="2.88671875" style="156" customWidth="1"/>
    <col min="4101" max="4101" width="29.88671875" style="156" customWidth="1"/>
    <col min="4102" max="4102" width="4.44140625" style="156" customWidth="1"/>
    <col min="4103" max="4103" width="9.44140625" style="156" customWidth="1"/>
    <col min="4104" max="4104" width="2.109375" style="156" customWidth="1"/>
    <col min="4105" max="4105" width="9.33203125" style="156" customWidth="1"/>
    <col min="4106" max="4106" width="2.109375" style="156" customWidth="1"/>
    <col min="4107" max="4107" width="9.109375" style="156" bestFit="1" customWidth="1"/>
    <col min="4108" max="4108" width="2.109375" style="156" customWidth="1"/>
    <col min="4109" max="4109" width="9.44140625" style="156" customWidth="1"/>
    <col min="4110" max="4110" width="3.109375" style="156" customWidth="1"/>
    <col min="4111" max="4111" width="9.44140625" style="156" customWidth="1"/>
    <col min="4112" max="4112" width="2.88671875" style="156" customWidth="1"/>
    <col min="4113" max="4113" width="4.44140625" style="156" customWidth="1"/>
    <col min="4114" max="4114" width="2.88671875" style="156" customWidth="1"/>
    <col min="4115" max="4115" width="24" style="156" customWidth="1"/>
    <col min="4116" max="4116" width="18.88671875" style="156" customWidth="1"/>
    <col min="4117" max="4341" width="7.33203125" style="156"/>
    <col min="4342" max="4342" width="4.44140625" style="156" customWidth="1"/>
    <col min="4343" max="4343" width="2.88671875" style="156" customWidth="1"/>
    <col min="4344" max="4344" width="22.5546875" style="156" customWidth="1"/>
    <col min="4345" max="4345" width="4.44140625" style="156" customWidth="1"/>
    <col min="4346" max="4346" width="10.88671875" style="156" customWidth="1"/>
    <col min="4347" max="4347" width="4.44140625" style="156" customWidth="1"/>
    <col min="4348" max="4348" width="10.88671875" style="156" customWidth="1"/>
    <col min="4349" max="4349" width="4.44140625" style="156" customWidth="1"/>
    <col min="4350" max="4350" width="10.88671875" style="156" customWidth="1"/>
    <col min="4351" max="4351" width="3.5546875" style="156" customWidth="1"/>
    <col min="4352" max="4352" width="9.44140625" style="156" customWidth="1"/>
    <col min="4353" max="4353" width="2.88671875" style="156" customWidth="1"/>
    <col min="4354" max="4355" width="4.44140625" style="156" customWidth="1"/>
    <col min="4356" max="4356" width="2.88671875" style="156" customWidth="1"/>
    <col min="4357" max="4357" width="29.88671875" style="156" customWidth="1"/>
    <col min="4358" max="4358" width="4.44140625" style="156" customWidth="1"/>
    <col min="4359" max="4359" width="9.44140625" style="156" customWidth="1"/>
    <col min="4360" max="4360" width="2.109375" style="156" customWidth="1"/>
    <col min="4361" max="4361" width="9.33203125" style="156" customWidth="1"/>
    <col min="4362" max="4362" width="2.109375" style="156" customWidth="1"/>
    <col min="4363" max="4363" width="9.109375" style="156" bestFit="1" customWidth="1"/>
    <col min="4364" max="4364" width="2.109375" style="156" customWidth="1"/>
    <col min="4365" max="4365" width="9.44140625" style="156" customWidth="1"/>
    <col min="4366" max="4366" width="3.109375" style="156" customWidth="1"/>
    <col min="4367" max="4367" width="9.44140625" style="156" customWidth="1"/>
    <col min="4368" max="4368" width="2.88671875" style="156" customWidth="1"/>
    <col min="4369" max="4369" width="4.44140625" style="156" customWidth="1"/>
    <col min="4370" max="4370" width="2.88671875" style="156" customWidth="1"/>
    <col min="4371" max="4371" width="24" style="156" customWidth="1"/>
    <col min="4372" max="4372" width="18.88671875" style="156" customWidth="1"/>
    <col min="4373" max="4597" width="7.33203125" style="156"/>
    <col min="4598" max="4598" width="4.44140625" style="156" customWidth="1"/>
    <col min="4599" max="4599" width="2.88671875" style="156" customWidth="1"/>
    <col min="4600" max="4600" width="22.5546875" style="156" customWidth="1"/>
    <col min="4601" max="4601" width="4.44140625" style="156" customWidth="1"/>
    <col min="4602" max="4602" width="10.88671875" style="156" customWidth="1"/>
    <col min="4603" max="4603" width="4.44140625" style="156" customWidth="1"/>
    <col min="4604" max="4604" width="10.88671875" style="156" customWidth="1"/>
    <col min="4605" max="4605" width="4.44140625" style="156" customWidth="1"/>
    <col min="4606" max="4606" width="10.88671875" style="156" customWidth="1"/>
    <col min="4607" max="4607" width="3.5546875" style="156" customWidth="1"/>
    <col min="4608" max="4608" width="9.44140625" style="156" customWidth="1"/>
    <col min="4609" max="4609" width="2.88671875" style="156" customWidth="1"/>
    <col min="4610" max="4611" width="4.44140625" style="156" customWidth="1"/>
    <col min="4612" max="4612" width="2.88671875" style="156" customWidth="1"/>
    <col min="4613" max="4613" width="29.88671875" style="156" customWidth="1"/>
    <col min="4614" max="4614" width="4.44140625" style="156" customWidth="1"/>
    <col min="4615" max="4615" width="9.44140625" style="156" customWidth="1"/>
    <col min="4616" max="4616" width="2.109375" style="156" customWidth="1"/>
    <col min="4617" max="4617" width="9.33203125" style="156" customWidth="1"/>
    <col min="4618" max="4618" width="2.109375" style="156" customWidth="1"/>
    <col min="4619" max="4619" width="9.109375" style="156" bestFit="1" customWidth="1"/>
    <col min="4620" max="4620" width="2.109375" style="156" customWidth="1"/>
    <col min="4621" max="4621" width="9.44140625" style="156" customWidth="1"/>
    <col min="4622" max="4622" width="3.109375" style="156" customWidth="1"/>
    <col min="4623" max="4623" width="9.44140625" style="156" customWidth="1"/>
    <col min="4624" max="4624" width="2.88671875" style="156" customWidth="1"/>
    <col min="4625" max="4625" width="4.44140625" style="156" customWidth="1"/>
    <col min="4626" max="4626" width="2.88671875" style="156" customWidth="1"/>
    <col min="4627" max="4627" width="24" style="156" customWidth="1"/>
    <col min="4628" max="4628" width="18.88671875" style="156" customWidth="1"/>
    <col min="4629" max="4853" width="7.33203125" style="156"/>
    <col min="4854" max="4854" width="4.44140625" style="156" customWidth="1"/>
    <col min="4855" max="4855" width="2.88671875" style="156" customWidth="1"/>
    <col min="4856" max="4856" width="22.5546875" style="156" customWidth="1"/>
    <col min="4857" max="4857" width="4.44140625" style="156" customWidth="1"/>
    <col min="4858" max="4858" width="10.88671875" style="156" customWidth="1"/>
    <col min="4859" max="4859" width="4.44140625" style="156" customWidth="1"/>
    <col min="4860" max="4860" width="10.88671875" style="156" customWidth="1"/>
    <col min="4861" max="4861" width="4.44140625" style="156" customWidth="1"/>
    <col min="4862" max="4862" width="10.88671875" style="156" customWidth="1"/>
    <col min="4863" max="4863" width="3.5546875" style="156" customWidth="1"/>
    <col min="4864" max="4864" width="9.44140625" style="156" customWidth="1"/>
    <col min="4865" max="4865" width="2.88671875" style="156" customWidth="1"/>
    <col min="4866" max="4867" width="4.44140625" style="156" customWidth="1"/>
    <col min="4868" max="4868" width="2.88671875" style="156" customWidth="1"/>
    <col min="4869" max="4869" width="29.88671875" style="156" customWidth="1"/>
    <col min="4870" max="4870" width="4.44140625" style="156" customWidth="1"/>
    <col min="4871" max="4871" width="9.44140625" style="156" customWidth="1"/>
    <col min="4872" max="4872" width="2.109375" style="156" customWidth="1"/>
    <col min="4873" max="4873" width="9.33203125" style="156" customWidth="1"/>
    <col min="4874" max="4874" width="2.109375" style="156" customWidth="1"/>
    <col min="4875" max="4875" width="9.109375" style="156" bestFit="1" customWidth="1"/>
    <col min="4876" max="4876" width="2.109375" style="156" customWidth="1"/>
    <col min="4877" max="4877" width="9.44140625" style="156" customWidth="1"/>
    <col min="4878" max="4878" width="3.109375" style="156" customWidth="1"/>
    <col min="4879" max="4879" width="9.44140625" style="156" customWidth="1"/>
    <col min="4880" max="4880" width="2.88671875" style="156" customWidth="1"/>
    <col min="4881" max="4881" width="4.44140625" style="156" customWidth="1"/>
    <col min="4882" max="4882" width="2.88671875" style="156" customWidth="1"/>
    <col min="4883" max="4883" width="24" style="156" customWidth="1"/>
    <col min="4884" max="4884" width="18.88671875" style="156" customWidth="1"/>
    <col min="4885" max="5109" width="7.33203125" style="156"/>
    <col min="5110" max="5110" width="4.44140625" style="156" customWidth="1"/>
    <col min="5111" max="5111" width="2.88671875" style="156" customWidth="1"/>
    <col min="5112" max="5112" width="22.5546875" style="156" customWidth="1"/>
    <col min="5113" max="5113" width="4.44140625" style="156" customWidth="1"/>
    <col min="5114" max="5114" width="10.88671875" style="156" customWidth="1"/>
    <col min="5115" max="5115" width="4.44140625" style="156" customWidth="1"/>
    <col min="5116" max="5116" width="10.88671875" style="156" customWidth="1"/>
    <col min="5117" max="5117" width="4.44140625" style="156" customWidth="1"/>
    <col min="5118" max="5118" width="10.88671875" style="156" customWidth="1"/>
    <col min="5119" max="5119" width="3.5546875" style="156" customWidth="1"/>
    <col min="5120" max="5120" width="9.44140625" style="156" customWidth="1"/>
    <col min="5121" max="5121" width="2.88671875" style="156" customWidth="1"/>
    <col min="5122" max="5123" width="4.44140625" style="156" customWidth="1"/>
    <col min="5124" max="5124" width="2.88671875" style="156" customWidth="1"/>
    <col min="5125" max="5125" width="29.88671875" style="156" customWidth="1"/>
    <col min="5126" max="5126" width="4.44140625" style="156" customWidth="1"/>
    <col min="5127" max="5127" width="9.44140625" style="156" customWidth="1"/>
    <col min="5128" max="5128" width="2.109375" style="156" customWidth="1"/>
    <col min="5129" max="5129" width="9.33203125" style="156" customWidth="1"/>
    <col min="5130" max="5130" width="2.109375" style="156" customWidth="1"/>
    <col min="5131" max="5131" width="9.109375" style="156" bestFit="1" customWidth="1"/>
    <col min="5132" max="5132" width="2.109375" style="156" customWidth="1"/>
    <col min="5133" max="5133" width="9.44140625" style="156" customWidth="1"/>
    <col min="5134" max="5134" width="3.109375" style="156" customWidth="1"/>
    <col min="5135" max="5135" width="9.44140625" style="156" customWidth="1"/>
    <col min="5136" max="5136" width="2.88671875" style="156" customWidth="1"/>
    <col min="5137" max="5137" width="4.44140625" style="156" customWidth="1"/>
    <col min="5138" max="5138" width="2.88671875" style="156" customWidth="1"/>
    <col min="5139" max="5139" width="24" style="156" customWidth="1"/>
    <col min="5140" max="5140" width="18.88671875" style="156" customWidth="1"/>
    <col min="5141" max="5365" width="7.33203125" style="156"/>
    <col min="5366" max="5366" width="4.44140625" style="156" customWidth="1"/>
    <col min="5367" max="5367" width="2.88671875" style="156" customWidth="1"/>
    <col min="5368" max="5368" width="22.5546875" style="156" customWidth="1"/>
    <col min="5369" max="5369" width="4.44140625" style="156" customWidth="1"/>
    <col min="5370" max="5370" width="10.88671875" style="156" customWidth="1"/>
    <col min="5371" max="5371" width="4.44140625" style="156" customWidth="1"/>
    <col min="5372" max="5372" width="10.88671875" style="156" customWidth="1"/>
    <col min="5373" max="5373" width="4.44140625" style="156" customWidth="1"/>
    <col min="5374" max="5374" width="10.88671875" style="156" customWidth="1"/>
    <col min="5375" max="5375" width="3.5546875" style="156" customWidth="1"/>
    <col min="5376" max="5376" width="9.44140625" style="156" customWidth="1"/>
    <col min="5377" max="5377" width="2.88671875" style="156" customWidth="1"/>
    <col min="5378" max="5379" width="4.44140625" style="156" customWidth="1"/>
    <col min="5380" max="5380" width="2.88671875" style="156" customWidth="1"/>
    <col min="5381" max="5381" width="29.88671875" style="156" customWidth="1"/>
    <col min="5382" max="5382" width="4.44140625" style="156" customWidth="1"/>
    <col min="5383" max="5383" width="9.44140625" style="156" customWidth="1"/>
    <col min="5384" max="5384" width="2.109375" style="156" customWidth="1"/>
    <col min="5385" max="5385" width="9.33203125" style="156" customWidth="1"/>
    <col min="5386" max="5386" width="2.109375" style="156" customWidth="1"/>
    <col min="5387" max="5387" width="9.109375" style="156" bestFit="1" customWidth="1"/>
    <col min="5388" max="5388" width="2.109375" style="156" customWidth="1"/>
    <col min="5389" max="5389" width="9.44140625" style="156" customWidth="1"/>
    <col min="5390" max="5390" width="3.109375" style="156" customWidth="1"/>
    <col min="5391" max="5391" width="9.44140625" style="156" customWidth="1"/>
    <col min="5392" max="5392" width="2.88671875" style="156" customWidth="1"/>
    <col min="5393" max="5393" width="4.44140625" style="156" customWidth="1"/>
    <col min="5394" max="5394" width="2.88671875" style="156" customWidth="1"/>
    <col min="5395" max="5395" width="24" style="156" customWidth="1"/>
    <col min="5396" max="5396" width="18.88671875" style="156" customWidth="1"/>
    <col min="5397" max="5621" width="7.33203125" style="156"/>
    <col min="5622" max="5622" width="4.44140625" style="156" customWidth="1"/>
    <col min="5623" max="5623" width="2.88671875" style="156" customWidth="1"/>
    <col min="5624" max="5624" width="22.5546875" style="156" customWidth="1"/>
    <col min="5625" max="5625" width="4.44140625" style="156" customWidth="1"/>
    <col min="5626" max="5626" width="10.88671875" style="156" customWidth="1"/>
    <col min="5627" max="5627" width="4.44140625" style="156" customWidth="1"/>
    <col min="5628" max="5628" width="10.88671875" style="156" customWidth="1"/>
    <col min="5629" max="5629" width="4.44140625" style="156" customWidth="1"/>
    <col min="5630" max="5630" width="10.88671875" style="156" customWidth="1"/>
    <col min="5631" max="5631" width="3.5546875" style="156" customWidth="1"/>
    <col min="5632" max="5632" width="9.44140625" style="156" customWidth="1"/>
    <col min="5633" max="5633" width="2.88671875" style="156" customWidth="1"/>
    <col min="5634" max="5635" width="4.44140625" style="156" customWidth="1"/>
    <col min="5636" max="5636" width="2.88671875" style="156" customWidth="1"/>
    <col min="5637" max="5637" width="29.88671875" style="156" customWidth="1"/>
    <col min="5638" max="5638" width="4.44140625" style="156" customWidth="1"/>
    <col min="5639" max="5639" width="9.44140625" style="156" customWidth="1"/>
    <col min="5640" max="5640" width="2.109375" style="156" customWidth="1"/>
    <col min="5641" max="5641" width="9.33203125" style="156" customWidth="1"/>
    <col min="5642" max="5642" width="2.109375" style="156" customWidth="1"/>
    <col min="5643" max="5643" width="9.109375" style="156" bestFit="1" customWidth="1"/>
    <col min="5644" max="5644" width="2.109375" style="156" customWidth="1"/>
    <col min="5645" max="5645" width="9.44140625" style="156" customWidth="1"/>
    <col min="5646" max="5646" width="3.109375" style="156" customWidth="1"/>
    <col min="5647" max="5647" width="9.44140625" style="156" customWidth="1"/>
    <col min="5648" max="5648" width="2.88671875" style="156" customWidth="1"/>
    <col min="5649" max="5649" width="4.44140625" style="156" customWidth="1"/>
    <col min="5650" max="5650" width="2.88671875" style="156" customWidth="1"/>
    <col min="5651" max="5651" width="24" style="156" customWidth="1"/>
    <col min="5652" max="5652" width="18.88671875" style="156" customWidth="1"/>
    <col min="5653" max="5877" width="7.33203125" style="156"/>
    <col min="5878" max="5878" width="4.44140625" style="156" customWidth="1"/>
    <col min="5879" max="5879" width="2.88671875" style="156" customWidth="1"/>
    <col min="5880" max="5880" width="22.5546875" style="156" customWidth="1"/>
    <col min="5881" max="5881" width="4.44140625" style="156" customWidth="1"/>
    <col min="5882" max="5882" width="10.88671875" style="156" customWidth="1"/>
    <col min="5883" max="5883" width="4.44140625" style="156" customWidth="1"/>
    <col min="5884" max="5884" width="10.88671875" style="156" customWidth="1"/>
    <col min="5885" max="5885" width="4.44140625" style="156" customWidth="1"/>
    <col min="5886" max="5886" width="10.88671875" style="156" customWidth="1"/>
    <col min="5887" max="5887" width="3.5546875" style="156" customWidth="1"/>
    <col min="5888" max="5888" width="9.44140625" style="156" customWidth="1"/>
    <col min="5889" max="5889" width="2.88671875" style="156" customWidth="1"/>
    <col min="5890" max="5891" width="4.44140625" style="156" customWidth="1"/>
    <col min="5892" max="5892" width="2.88671875" style="156" customWidth="1"/>
    <col min="5893" max="5893" width="29.88671875" style="156" customWidth="1"/>
    <col min="5894" max="5894" width="4.44140625" style="156" customWidth="1"/>
    <col min="5895" max="5895" width="9.44140625" style="156" customWidth="1"/>
    <col min="5896" max="5896" width="2.109375" style="156" customWidth="1"/>
    <col min="5897" max="5897" width="9.33203125" style="156" customWidth="1"/>
    <col min="5898" max="5898" width="2.109375" style="156" customWidth="1"/>
    <col min="5899" max="5899" width="9.109375" style="156" bestFit="1" customWidth="1"/>
    <col min="5900" max="5900" width="2.109375" style="156" customWidth="1"/>
    <col min="5901" max="5901" width="9.44140625" style="156" customWidth="1"/>
    <col min="5902" max="5902" width="3.109375" style="156" customWidth="1"/>
    <col min="5903" max="5903" width="9.44140625" style="156" customWidth="1"/>
    <col min="5904" max="5904" width="2.88671875" style="156" customWidth="1"/>
    <col min="5905" max="5905" width="4.44140625" style="156" customWidth="1"/>
    <col min="5906" max="5906" width="2.88671875" style="156" customWidth="1"/>
    <col min="5907" max="5907" width="24" style="156" customWidth="1"/>
    <col min="5908" max="5908" width="18.88671875" style="156" customWidth="1"/>
    <col min="5909" max="6133" width="7.33203125" style="156"/>
    <col min="6134" max="6134" width="4.44140625" style="156" customWidth="1"/>
    <col min="6135" max="6135" width="2.88671875" style="156" customWidth="1"/>
    <col min="6136" max="6136" width="22.5546875" style="156" customWidth="1"/>
    <col min="6137" max="6137" width="4.44140625" style="156" customWidth="1"/>
    <col min="6138" max="6138" width="10.88671875" style="156" customWidth="1"/>
    <col min="6139" max="6139" width="4.44140625" style="156" customWidth="1"/>
    <col min="6140" max="6140" width="10.88671875" style="156" customWidth="1"/>
    <col min="6141" max="6141" width="4.44140625" style="156" customWidth="1"/>
    <col min="6142" max="6142" width="10.88671875" style="156" customWidth="1"/>
    <col min="6143" max="6143" width="3.5546875" style="156" customWidth="1"/>
    <col min="6144" max="6144" width="9.44140625" style="156" customWidth="1"/>
    <col min="6145" max="6145" width="2.88671875" style="156" customWidth="1"/>
    <col min="6146" max="6147" width="4.44140625" style="156" customWidth="1"/>
    <col min="6148" max="6148" width="2.88671875" style="156" customWidth="1"/>
    <col min="6149" max="6149" width="29.88671875" style="156" customWidth="1"/>
    <col min="6150" max="6150" width="4.44140625" style="156" customWidth="1"/>
    <col min="6151" max="6151" width="9.44140625" style="156" customWidth="1"/>
    <col min="6152" max="6152" width="2.109375" style="156" customWidth="1"/>
    <col min="6153" max="6153" width="9.33203125" style="156" customWidth="1"/>
    <col min="6154" max="6154" width="2.109375" style="156" customWidth="1"/>
    <col min="6155" max="6155" width="9.109375" style="156" bestFit="1" customWidth="1"/>
    <col min="6156" max="6156" width="2.109375" style="156" customWidth="1"/>
    <col min="6157" max="6157" width="9.44140625" style="156" customWidth="1"/>
    <col min="6158" max="6158" width="3.109375" style="156" customWidth="1"/>
    <col min="6159" max="6159" width="9.44140625" style="156" customWidth="1"/>
    <col min="6160" max="6160" width="2.88671875" style="156" customWidth="1"/>
    <col min="6161" max="6161" width="4.44140625" style="156" customWidth="1"/>
    <col min="6162" max="6162" width="2.88671875" style="156" customWidth="1"/>
    <col min="6163" max="6163" width="24" style="156" customWidth="1"/>
    <col min="6164" max="6164" width="18.88671875" style="156" customWidth="1"/>
    <col min="6165" max="6389" width="7.33203125" style="156"/>
    <col min="6390" max="6390" width="4.44140625" style="156" customWidth="1"/>
    <col min="6391" max="6391" width="2.88671875" style="156" customWidth="1"/>
    <col min="6392" max="6392" width="22.5546875" style="156" customWidth="1"/>
    <col min="6393" max="6393" width="4.44140625" style="156" customWidth="1"/>
    <col min="6394" max="6394" width="10.88671875" style="156" customWidth="1"/>
    <col min="6395" max="6395" width="4.44140625" style="156" customWidth="1"/>
    <col min="6396" max="6396" width="10.88671875" style="156" customWidth="1"/>
    <col min="6397" max="6397" width="4.44140625" style="156" customWidth="1"/>
    <col min="6398" max="6398" width="10.88671875" style="156" customWidth="1"/>
    <col min="6399" max="6399" width="3.5546875" style="156" customWidth="1"/>
    <col min="6400" max="6400" width="9.44140625" style="156" customWidth="1"/>
    <col min="6401" max="6401" width="2.88671875" style="156" customWidth="1"/>
    <col min="6402" max="6403" width="4.44140625" style="156" customWidth="1"/>
    <col min="6404" max="6404" width="2.88671875" style="156" customWidth="1"/>
    <col min="6405" max="6405" width="29.88671875" style="156" customWidth="1"/>
    <col min="6406" max="6406" width="4.44140625" style="156" customWidth="1"/>
    <col min="6407" max="6407" width="9.44140625" style="156" customWidth="1"/>
    <col min="6408" max="6408" width="2.109375" style="156" customWidth="1"/>
    <col min="6409" max="6409" width="9.33203125" style="156" customWidth="1"/>
    <col min="6410" max="6410" width="2.109375" style="156" customWidth="1"/>
    <col min="6411" max="6411" width="9.109375" style="156" bestFit="1" customWidth="1"/>
    <col min="6412" max="6412" width="2.109375" style="156" customWidth="1"/>
    <col min="6413" max="6413" width="9.44140625" style="156" customWidth="1"/>
    <col min="6414" max="6414" width="3.109375" style="156" customWidth="1"/>
    <col min="6415" max="6415" width="9.44140625" style="156" customWidth="1"/>
    <col min="6416" max="6416" width="2.88671875" style="156" customWidth="1"/>
    <col min="6417" max="6417" width="4.44140625" style="156" customWidth="1"/>
    <col min="6418" max="6418" width="2.88671875" style="156" customWidth="1"/>
    <col min="6419" max="6419" width="24" style="156" customWidth="1"/>
    <col min="6420" max="6420" width="18.88671875" style="156" customWidth="1"/>
    <col min="6421" max="6645" width="7.33203125" style="156"/>
    <col min="6646" max="6646" width="4.44140625" style="156" customWidth="1"/>
    <col min="6647" max="6647" width="2.88671875" style="156" customWidth="1"/>
    <col min="6648" max="6648" width="22.5546875" style="156" customWidth="1"/>
    <col min="6649" max="6649" width="4.44140625" style="156" customWidth="1"/>
    <col min="6650" max="6650" width="10.88671875" style="156" customWidth="1"/>
    <col min="6651" max="6651" width="4.44140625" style="156" customWidth="1"/>
    <col min="6652" max="6652" width="10.88671875" style="156" customWidth="1"/>
    <col min="6653" max="6653" width="4.44140625" style="156" customWidth="1"/>
    <col min="6654" max="6654" width="10.88671875" style="156" customWidth="1"/>
    <col min="6655" max="6655" width="3.5546875" style="156" customWidth="1"/>
    <col min="6656" max="6656" width="9.44140625" style="156" customWidth="1"/>
    <col min="6657" max="6657" width="2.88671875" style="156" customWidth="1"/>
    <col min="6658" max="6659" width="4.44140625" style="156" customWidth="1"/>
    <col min="6660" max="6660" width="2.88671875" style="156" customWidth="1"/>
    <col min="6661" max="6661" width="29.88671875" style="156" customWidth="1"/>
    <col min="6662" max="6662" width="4.44140625" style="156" customWidth="1"/>
    <col min="6663" max="6663" width="9.44140625" style="156" customWidth="1"/>
    <col min="6664" max="6664" width="2.109375" style="156" customWidth="1"/>
    <col min="6665" max="6665" width="9.33203125" style="156" customWidth="1"/>
    <col min="6666" max="6666" width="2.109375" style="156" customWidth="1"/>
    <col min="6667" max="6667" width="9.109375" style="156" bestFit="1" customWidth="1"/>
    <col min="6668" max="6668" width="2.109375" style="156" customWidth="1"/>
    <col min="6669" max="6669" width="9.44140625" style="156" customWidth="1"/>
    <col min="6670" max="6670" width="3.109375" style="156" customWidth="1"/>
    <col min="6671" max="6671" width="9.44140625" style="156" customWidth="1"/>
    <col min="6672" max="6672" width="2.88671875" style="156" customWidth="1"/>
    <col min="6673" max="6673" width="4.44140625" style="156" customWidth="1"/>
    <col min="6674" max="6674" width="2.88671875" style="156" customWidth="1"/>
    <col min="6675" max="6675" width="24" style="156" customWidth="1"/>
    <col min="6676" max="6676" width="18.88671875" style="156" customWidth="1"/>
    <col min="6677" max="6901" width="7.33203125" style="156"/>
    <col min="6902" max="6902" width="4.44140625" style="156" customWidth="1"/>
    <col min="6903" max="6903" width="2.88671875" style="156" customWidth="1"/>
    <col min="6904" max="6904" width="22.5546875" style="156" customWidth="1"/>
    <col min="6905" max="6905" width="4.44140625" style="156" customWidth="1"/>
    <col min="6906" max="6906" width="10.88671875" style="156" customWidth="1"/>
    <col min="6907" max="6907" width="4.44140625" style="156" customWidth="1"/>
    <col min="6908" max="6908" width="10.88671875" style="156" customWidth="1"/>
    <col min="6909" max="6909" width="4.44140625" style="156" customWidth="1"/>
    <col min="6910" max="6910" width="10.88671875" style="156" customWidth="1"/>
    <col min="6911" max="6911" width="3.5546875" style="156" customWidth="1"/>
    <col min="6912" max="6912" width="9.44140625" style="156" customWidth="1"/>
    <col min="6913" max="6913" width="2.88671875" style="156" customWidth="1"/>
    <col min="6914" max="6915" width="4.44140625" style="156" customWidth="1"/>
    <col min="6916" max="6916" width="2.88671875" style="156" customWidth="1"/>
    <col min="6917" max="6917" width="29.88671875" style="156" customWidth="1"/>
    <col min="6918" max="6918" width="4.44140625" style="156" customWidth="1"/>
    <col min="6919" max="6919" width="9.44140625" style="156" customWidth="1"/>
    <col min="6920" max="6920" width="2.109375" style="156" customWidth="1"/>
    <col min="6921" max="6921" width="9.33203125" style="156" customWidth="1"/>
    <col min="6922" max="6922" width="2.109375" style="156" customWidth="1"/>
    <col min="6923" max="6923" width="9.109375" style="156" bestFit="1" customWidth="1"/>
    <col min="6924" max="6924" width="2.109375" style="156" customWidth="1"/>
    <col min="6925" max="6925" width="9.44140625" style="156" customWidth="1"/>
    <col min="6926" max="6926" width="3.109375" style="156" customWidth="1"/>
    <col min="6927" max="6927" width="9.44140625" style="156" customWidth="1"/>
    <col min="6928" max="6928" width="2.88671875" style="156" customWidth="1"/>
    <col min="6929" max="6929" width="4.44140625" style="156" customWidth="1"/>
    <col min="6930" max="6930" width="2.88671875" style="156" customWidth="1"/>
    <col min="6931" max="6931" width="24" style="156" customWidth="1"/>
    <col min="6932" max="6932" width="18.88671875" style="156" customWidth="1"/>
    <col min="6933" max="7157" width="7.33203125" style="156"/>
    <col min="7158" max="7158" width="4.44140625" style="156" customWidth="1"/>
    <col min="7159" max="7159" width="2.88671875" style="156" customWidth="1"/>
    <col min="7160" max="7160" width="22.5546875" style="156" customWidth="1"/>
    <col min="7161" max="7161" width="4.44140625" style="156" customWidth="1"/>
    <col min="7162" max="7162" width="10.88671875" style="156" customWidth="1"/>
    <col min="7163" max="7163" width="4.44140625" style="156" customWidth="1"/>
    <col min="7164" max="7164" width="10.88671875" style="156" customWidth="1"/>
    <col min="7165" max="7165" width="4.44140625" style="156" customWidth="1"/>
    <col min="7166" max="7166" width="10.88671875" style="156" customWidth="1"/>
    <col min="7167" max="7167" width="3.5546875" style="156" customWidth="1"/>
    <col min="7168" max="7168" width="9.44140625" style="156" customWidth="1"/>
    <col min="7169" max="7169" width="2.88671875" style="156" customWidth="1"/>
    <col min="7170" max="7171" width="4.44140625" style="156" customWidth="1"/>
    <col min="7172" max="7172" width="2.88671875" style="156" customWidth="1"/>
    <col min="7173" max="7173" width="29.88671875" style="156" customWidth="1"/>
    <col min="7174" max="7174" width="4.44140625" style="156" customWidth="1"/>
    <col min="7175" max="7175" width="9.44140625" style="156" customWidth="1"/>
    <col min="7176" max="7176" width="2.109375" style="156" customWidth="1"/>
    <col min="7177" max="7177" width="9.33203125" style="156" customWidth="1"/>
    <col min="7178" max="7178" width="2.109375" style="156" customWidth="1"/>
    <col min="7179" max="7179" width="9.109375" style="156" bestFit="1" customWidth="1"/>
    <col min="7180" max="7180" width="2.109375" style="156" customWidth="1"/>
    <col min="7181" max="7181" width="9.44140625" style="156" customWidth="1"/>
    <col min="7182" max="7182" width="3.109375" style="156" customWidth="1"/>
    <col min="7183" max="7183" width="9.44140625" style="156" customWidth="1"/>
    <col min="7184" max="7184" width="2.88671875" style="156" customWidth="1"/>
    <col min="7185" max="7185" width="4.44140625" style="156" customWidth="1"/>
    <col min="7186" max="7186" width="2.88671875" style="156" customWidth="1"/>
    <col min="7187" max="7187" width="24" style="156" customWidth="1"/>
    <col min="7188" max="7188" width="18.88671875" style="156" customWidth="1"/>
    <col min="7189" max="7413" width="7.33203125" style="156"/>
    <col min="7414" max="7414" width="4.44140625" style="156" customWidth="1"/>
    <col min="7415" max="7415" width="2.88671875" style="156" customWidth="1"/>
    <col min="7416" max="7416" width="22.5546875" style="156" customWidth="1"/>
    <col min="7417" max="7417" width="4.44140625" style="156" customWidth="1"/>
    <col min="7418" max="7418" width="10.88671875" style="156" customWidth="1"/>
    <col min="7419" max="7419" width="4.44140625" style="156" customWidth="1"/>
    <col min="7420" max="7420" width="10.88671875" style="156" customWidth="1"/>
    <col min="7421" max="7421" width="4.44140625" style="156" customWidth="1"/>
    <col min="7422" max="7422" width="10.88671875" style="156" customWidth="1"/>
    <col min="7423" max="7423" width="3.5546875" style="156" customWidth="1"/>
    <col min="7424" max="7424" width="9.44140625" style="156" customWidth="1"/>
    <col min="7425" max="7425" width="2.88671875" style="156" customWidth="1"/>
    <col min="7426" max="7427" width="4.44140625" style="156" customWidth="1"/>
    <col min="7428" max="7428" width="2.88671875" style="156" customWidth="1"/>
    <col min="7429" max="7429" width="29.88671875" style="156" customWidth="1"/>
    <col min="7430" max="7430" width="4.44140625" style="156" customWidth="1"/>
    <col min="7431" max="7431" width="9.44140625" style="156" customWidth="1"/>
    <col min="7432" max="7432" width="2.109375" style="156" customWidth="1"/>
    <col min="7433" max="7433" width="9.33203125" style="156" customWidth="1"/>
    <col min="7434" max="7434" width="2.109375" style="156" customWidth="1"/>
    <col min="7435" max="7435" width="9.109375" style="156" bestFit="1" customWidth="1"/>
    <col min="7436" max="7436" width="2.109375" style="156" customWidth="1"/>
    <col min="7437" max="7437" width="9.44140625" style="156" customWidth="1"/>
    <col min="7438" max="7438" width="3.109375" style="156" customWidth="1"/>
    <col min="7439" max="7439" width="9.44140625" style="156" customWidth="1"/>
    <col min="7440" max="7440" width="2.88671875" style="156" customWidth="1"/>
    <col min="7441" max="7441" width="4.44140625" style="156" customWidth="1"/>
    <col min="7442" max="7442" width="2.88671875" style="156" customWidth="1"/>
    <col min="7443" max="7443" width="24" style="156" customWidth="1"/>
    <col min="7444" max="7444" width="18.88671875" style="156" customWidth="1"/>
    <col min="7445" max="7669" width="7.33203125" style="156"/>
    <col min="7670" max="7670" width="4.44140625" style="156" customWidth="1"/>
    <col min="7671" max="7671" width="2.88671875" style="156" customWidth="1"/>
    <col min="7672" max="7672" width="22.5546875" style="156" customWidth="1"/>
    <col min="7673" max="7673" width="4.44140625" style="156" customWidth="1"/>
    <col min="7674" max="7674" width="10.88671875" style="156" customWidth="1"/>
    <col min="7675" max="7675" width="4.44140625" style="156" customWidth="1"/>
    <col min="7676" max="7676" width="10.88671875" style="156" customWidth="1"/>
    <col min="7677" max="7677" width="4.44140625" style="156" customWidth="1"/>
    <col min="7678" max="7678" width="10.88671875" style="156" customWidth="1"/>
    <col min="7679" max="7679" width="3.5546875" style="156" customWidth="1"/>
    <col min="7680" max="7680" width="9.44140625" style="156" customWidth="1"/>
    <col min="7681" max="7681" width="2.88671875" style="156" customWidth="1"/>
    <col min="7682" max="7683" width="4.44140625" style="156" customWidth="1"/>
    <col min="7684" max="7684" width="2.88671875" style="156" customWidth="1"/>
    <col min="7685" max="7685" width="29.88671875" style="156" customWidth="1"/>
    <col min="7686" max="7686" width="4.44140625" style="156" customWidth="1"/>
    <col min="7687" max="7687" width="9.44140625" style="156" customWidth="1"/>
    <col min="7688" max="7688" width="2.109375" style="156" customWidth="1"/>
    <col min="7689" max="7689" width="9.33203125" style="156" customWidth="1"/>
    <col min="7690" max="7690" width="2.109375" style="156" customWidth="1"/>
    <col min="7691" max="7691" width="9.109375" style="156" bestFit="1" customWidth="1"/>
    <col min="7692" max="7692" width="2.109375" style="156" customWidth="1"/>
    <col min="7693" max="7693" width="9.44140625" style="156" customWidth="1"/>
    <col min="7694" max="7694" width="3.109375" style="156" customWidth="1"/>
    <col min="7695" max="7695" width="9.44140625" style="156" customWidth="1"/>
    <col min="7696" max="7696" width="2.88671875" style="156" customWidth="1"/>
    <col min="7697" max="7697" width="4.44140625" style="156" customWidth="1"/>
    <col min="7698" max="7698" width="2.88671875" style="156" customWidth="1"/>
    <col min="7699" max="7699" width="24" style="156" customWidth="1"/>
    <col min="7700" max="7700" width="18.88671875" style="156" customWidth="1"/>
    <col min="7701" max="7925" width="7.33203125" style="156"/>
    <col min="7926" max="7926" width="4.44140625" style="156" customWidth="1"/>
    <col min="7927" max="7927" width="2.88671875" style="156" customWidth="1"/>
    <col min="7928" max="7928" width="22.5546875" style="156" customWidth="1"/>
    <col min="7929" max="7929" width="4.44140625" style="156" customWidth="1"/>
    <col min="7930" max="7930" width="10.88671875" style="156" customWidth="1"/>
    <col min="7931" max="7931" width="4.44140625" style="156" customWidth="1"/>
    <col min="7932" max="7932" width="10.88671875" style="156" customWidth="1"/>
    <col min="7933" max="7933" width="4.44140625" style="156" customWidth="1"/>
    <col min="7934" max="7934" width="10.88671875" style="156" customWidth="1"/>
    <col min="7935" max="7935" width="3.5546875" style="156" customWidth="1"/>
    <col min="7936" max="7936" width="9.44140625" style="156" customWidth="1"/>
    <col min="7937" max="7937" width="2.88671875" style="156" customWidth="1"/>
    <col min="7938" max="7939" width="4.44140625" style="156" customWidth="1"/>
    <col min="7940" max="7940" width="2.88671875" style="156" customWidth="1"/>
    <col min="7941" max="7941" width="29.88671875" style="156" customWidth="1"/>
    <col min="7942" max="7942" width="4.44140625" style="156" customWidth="1"/>
    <col min="7943" max="7943" width="9.44140625" style="156" customWidth="1"/>
    <col min="7944" max="7944" width="2.109375" style="156" customWidth="1"/>
    <col min="7945" max="7945" width="9.33203125" style="156" customWidth="1"/>
    <col min="7946" max="7946" width="2.109375" style="156" customWidth="1"/>
    <col min="7947" max="7947" width="9.109375" style="156" bestFit="1" customWidth="1"/>
    <col min="7948" max="7948" width="2.109375" style="156" customWidth="1"/>
    <col min="7949" max="7949" width="9.44140625" style="156" customWidth="1"/>
    <col min="7950" max="7950" width="3.109375" style="156" customWidth="1"/>
    <col min="7951" max="7951" width="9.44140625" style="156" customWidth="1"/>
    <col min="7952" max="7952" width="2.88671875" style="156" customWidth="1"/>
    <col min="7953" max="7953" width="4.44140625" style="156" customWidth="1"/>
    <col min="7954" max="7954" width="2.88671875" style="156" customWidth="1"/>
    <col min="7955" max="7955" width="24" style="156" customWidth="1"/>
    <col min="7956" max="7956" width="18.88671875" style="156" customWidth="1"/>
    <col min="7957" max="8181" width="7.33203125" style="156"/>
    <col min="8182" max="8182" width="4.44140625" style="156" customWidth="1"/>
    <col min="8183" max="8183" width="2.88671875" style="156" customWidth="1"/>
    <col min="8184" max="8184" width="22.5546875" style="156" customWidth="1"/>
    <col min="8185" max="8185" width="4.44140625" style="156" customWidth="1"/>
    <col min="8186" max="8186" width="10.88671875" style="156" customWidth="1"/>
    <col min="8187" max="8187" width="4.44140625" style="156" customWidth="1"/>
    <col min="8188" max="8188" width="10.88671875" style="156" customWidth="1"/>
    <col min="8189" max="8189" width="4.44140625" style="156" customWidth="1"/>
    <col min="8190" max="8190" width="10.88671875" style="156" customWidth="1"/>
    <col min="8191" max="8191" width="3.5546875" style="156" customWidth="1"/>
    <col min="8192" max="8192" width="9.44140625" style="156" customWidth="1"/>
    <col min="8193" max="8193" width="2.88671875" style="156" customWidth="1"/>
    <col min="8194" max="8195" width="4.44140625" style="156" customWidth="1"/>
    <col min="8196" max="8196" width="2.88671875" style="156" customWidth="1"/>
    <col min="8197" max="8197" width="29.88671875" style="156" customWidth="1"/>
    <col min="8198" max="8198" width="4.44140625" style="156" customWidth="1"/>
    <col min="8199" max="8199" width="9.44140625" style="156" customWidth="1"/>
    <col min="8200" max="8200" width="2.109375" style="156" customWidth="1"/>
    <col min="8201" max="8201" width="9.33203125" style="156" customWidth="1"/>
    <col min="8202" max="8202" width="2.109375" style="156" customWidth="1"/>
    <col min="8203" max="8203" width="9.109375" style="156" bestFit="1" customWidth="1"/>
    <col min="8204" max="8204" width="2.109375" style="156" customWidth="1"/>
    <col min="8205" max="8205" width="9.44140625" style="156" customWidth="1"/>
    <col min="8206" max="8206" width="3.109375" style="156" customWidth="1"/>
    <col min="8207" max="8207" width="9.44140625" style="156" customWidth="1"/>
    <col min="8208" max="8208" width="2.88671875" style="156" customWidth="1"/>
    <col min="8209" max="8209" width="4.44140625" style="156" customWidth="1"/>
    <col min="8210" max="8210" width="2.88671875" style="156" customWidth="1"/>
    <col min="8211" max="8211" width="24" style="156" customWidth="1"/>
    <col min="8212" max="8212" width="18.88671875" style="156" customWidth="1"/>
    <col min="8213" max="8437" width="7.33203125" style="156"/>
    <col min="8438" max="8438" width="4.44140625" style="156" customWidth="1"/>
    <col min="8439" max="8439" width="2.88671875" style="156" customWidth="1"/>
    <col min="8440" max="8440" width="22.5546875" style="156" customWidth="1"/>
    <col min="8441" max="8441" width="4.44140625" style="156" customWidth="1"/>
    <col min="8442" max="8442" width="10.88671875" style="156" customWidth="1"/>
    <col min="8443" max="8443" width="4.44140625" style="156" customWidth="1"/>
    <col min="8444" max="8444" width="10.88671875" style="156" customWidth="1"/>
    <col min="8445" max="8445" width="4.44140625" style="156" customWidth="1"/>
    <col min="8446" max="8446" width="10.88671875" style="156" customWidth="1"/>
    <col min="8447" max="8447" width="3.5546875" style="156" customWidth="1"/>
    <col min="8448" max="8448" width="9.44140625" style="156" customWidth="1"/>
    <col min="8449" max="8449" width="2.88671875" style="156" customWidth="1"/>
    <col min="8450" max="8451" width="4.44140625" style="156" customWidth="1"/>
    <col min="8452" max="8452" width="2.88671875" style="156" customWidth="1"/>
    <col min="8453" max="8453" width="29.88671875" style="156" customWidth="1"/>
    <col min="8454" max="8454" width="4.44140625" style="156" customWidth="1"/>
    <col min="8455" max="8455" width="9.44140625" style="156" customWidth="1"/>
    <col min="8456" max="8456" width="2.109375" style="156" customWidth="1"/>
    <col min="8457" max="8457" width="9.33203125" style="156" customWidth="1"/>
    <col min="8458" max="8458" width="2.109375" style="156" customWidth="1"/>
    <col min="8459" max="8459" width="9.109375" style="156" bestFit="1" customWidth="1"/>
    <col min="8460" max="8460" width="2.109375" style="156" customWidth="1"/>
    <col min="8461" max="8461" width="9.44140625" style="156" customWidth="1"/>
    <col min="8462" max="8462" width="3.109375" style="156" customWidth="1"/>
    <col min="8463" max="8463" width="9.44140625" style="156" customWidth="1"/>
    <col min="8464" max="8464" width="2.88671875" style="156" customWidth="1"/>
    <col min="8465" max="8465" width="4.44140625" style="156" customWidth="1"/>
    <col min="8466" max="8466" width="2.88671875" style="156" customWidth="1"/>
    <col min="8467" max="8467" width="24" style="156" customWidth="1"/>
    <col min="8468" max="8468" width="18.88671875" style="156" customWidth="1"/>
    <col min="8469" max="8693" width="7.33203125" style="156"/>
    <col min="8694" max="8694" width="4.44140625" style="156" customWidth="1"/>
    <col min="8695" max="8695" width="2.88671875" style="156" customWidth="1"/>
    <col min="8696" max="8696" width="22.5546875" style="156" customWidth="1"/>
    <col min="8697" max="8697" width="4.44140625" style="156" customWidth="1"/>
    <col min="8698" max="8698" width="10.88671875" style="156" customWidth="1"/>
    <col min="8699" max="8699" width="4.44140625" style="156" customWidth="1"/>
    <col min="8700" max="8700" width="10.88671875" style="156" customWidth="1"/>
    <col min="8701" max="8701" width="4.44140625" style="156" customWidth="1"/>
    <col min="8702" max="8702" width="10.88671875" style="156" customWidth="1"/>
    <col min="8703" max="8703" width="3.5546875" style="156" customWidth="1"/>
    <col min="8704" max="8704" width="9.44140625" style="156" customWidth="1"/>
    <col min="8705" max="8705" width="2.88671875" style="156" customWidth="1"/>
    <col min="8706" max="8707" width="4.44140625" style="156" customWidth="1"/>
    <col min="8708" max="8708" width="2.88671875" style="156" customWidth="1"/>
    <col min="8709" max="8709" width="29.88671875" style="156" customWidth="1"/>
    <col min="8710" max="8710" width="4.44140625" style="156" customWidth="1"/>
    <col min="8711" max="8711" width="9.44140625" style="156" customWidth="1"/>
    <col min="8712" max="8712" width="2.109375" style="156" customWidth="1"/>
    <col min="8713" max="8713" width="9.33203125" style="156" customWidth="1"/>
    <col min="8714" max="8714" width="2.109375" style="156" customWidth="1"/>
    <col min="8715" max="8715" width="9.109375" style="156" bestFit="1" customWidth="1"/>
    <col min="8716" max="8716" width="2.109375" style="156" customWidth="1"/>
    <col min="8717" max="8717" width="9.44140625" style="156" customWidth="1"/>
    <col min="8718" max="8718" width="3.109375" style="156" customWidth="1"/>
    <col min="8719" max="8719" width="9.44140625" style="156" customWidth="1"/>
    <col min="8720" max="8720" width="2.88671875" style="156" customWidth="1"/>
    <col min="8721" max="8721" width="4.44140625" style="156" customWidth="1"/>
    <col min="8722" max="8722" width="2.88671875" style="156" customWidth="1"/>
    <col min="8723" max="8723" width="24" style="156" customWidth="1"/>
    <col min="8724" max="8724" width="18.88671875" style="156" customWidth="1"/>
    <col min="8725" max="8949" width="7.33203125" style="156"/>
    <col min="8950" max="8950" width="4.44140625" style="156" customWidth="1"/>
    <col min="8951" max="8951" width="2.88671875" style="156" customWidth="1"/>
    <col min="8952" max="8952" width="22.5546875" style="156" customWidth="1"/>
    <col min="8953" max="8953" width="4.44140625" style="156" customWidth="1"/>
    <col min="8954" max="8954" width="10.88671875" style="156" customWidth="1"/>
    <col min="8955" max="8955" width="4.44140625" style="156" customWidth="1"/>
    <col min="8956" max="8956" width="10.88671875" style="156" customWidth="1"/>
    <col min="8957" max="8957" width="4.44140625" style="156" customWidth="1"/>
    <col min="8958" max="8958" width="10.88671875" style="156" customWidth="1"/>
    <col min="8959" max="8959" width="3.5546875" style="156" customWidth="1"/>
    <col min="8960" max="8960" width="9.44140625" style="156" customWidth="1"/>
    <col min="8961" max="8961" width="2.88671875" style="156" customWidth="1"/>
    <col min="8962" max="8963" width="4.44140625" style="156" customWidth="1"/>
    <col min="8964" max="8964" width="2.88671875" style="156" customWidth="1"/>
    <col min="8965" max="8965" width="29.88671875" style="156" customWidth="1"/>
    <col min="8966" max="8966" width="4.44140625" style="156" customWidth="1"/>
    <col min="8967" max="8967" width="9.44140625" style="156" customWidth="1"/>
    <col min="8968" max="8968" width="2.109375" style="156" customWidth="1"/>
    <col min="8969" max="8969" width="9.33203125" style="156" customWidth="1"/>
    <col min="8970" max="8970" width="2.109375" style="156" customWidth="1"/>
    <col min="8971" max="8971" width="9.109375" style="156" bestFit="1" customWidth="1"/>
    <col min="8972" max="8972" width="2.109375" style="156" customWidth="1"/>
    <col min="8973" max="8973" width="9.44140625" style="156" customWidth="1"/>
    <col min="8974" max="8974" width="3.109375" style="156" customWidth="1"/>
    <col min="8975" max="8975" width="9.44140625" style="156" customWidth="1"/>
    <col min="8976" max="8976" width="2.88671875" style="156" customWidth="1"/>
    <col min="8977" max="8977" width="4.44140625" style="156" customWidth="1"/>
    <col min="8978" max="8978" width="2.88671875" style="156" customWidth="1"/>
    <col min="8979" max="8979" width="24" style="156" customWidth="1"/>
    <col min="8980" max="8980" width="18.88671875" style="156" customWidth="1"/>
    <col min="8981" max="9205" width="7.33203125" style="156"/>
    <col min="9206" max="9206" width="4.44140625" style="156" customWidth="1"/>
    <col min="9207" max="9207" width="2.88671875" style="156" customWidth="1"/>
    <col min="9208" max="9208" width="22.5546875" style="156" customWidth="1"/>
    <col min="9209" max="9209" width="4.44140625" style="156" customWidth="1"/>
    <col min="9210" max="9210" width="10.88671875" style="156" customWidth="1"/>
    <col min="9211" max="9211" width="4.44140625" style="156" customWidth="1"/>
    <col min="9212" max="9212" width="10.88671875" style="156" customWidth="1"/>
    <col min="9213" max="9213" width="4.44140625" style="156" customWidth="1"/>
    <col min="9214" max="9214" width="10.88671875" style="156" customWidth="1"/>
    <col min="9215" max="9215" width="3.5546875" style="156" customWidth="1"/>
    <col min="9216" max="9216" width="9.44140625" style="156" customWidth="1"/>
    <col min="9217" max="9217" width="2.88671875" style="156" customWidth="1"/>
    <col min="9218" max="9219" width="4.44140625" style="156" customWidth="1"/>
    <col min="9220" max="9220" width="2.88671875" style="156" customWidth="1"/>
    <col min="9221" max="9221" width="29.88671875" style="156" customWidth="1"/>
    <col min="9222" max="9222" width="4.44140625" style="156" customWidth="1"/>
    <col min="9223" max="9223" width="9.44140625" style="156" customWidth="1"/>
    <col min="9224" max="9224" width="2.109375" style="156" customWidth="1"/>
    <col min="9225" max="9225" width="9.33203125" style="156" customWidth="1"/>
    <col min="9226" max="9226" width="2.109375" style="156" customWidth="1"/>
    <col min="9227" max="9227" width="9.109375" style="156" bestFit="1" customWidth="1"/>
    <col min="9228" max="9228" width="2.109375" style="156" customWidth="1"/>
    <col min="9229" max="9229" width="9.44140625" style="156" customWidth="1"/>
    <col min="9230" max="9230" width="3.109375" style="156" customWidth="1"/>
    <col min="9231" max="9231" width="9.44140625" style="156" customWidth="1"/>
    <col min="9232" max="9232" width="2.88671875" style="156" customWidth="1"/>
    <col min="9233" max="9233" width="4.44140625" style="156" customWidth="1"/>
    <col min="9234" max="9234" width="2.88671875" style="156" customWidth="1"/>
    <col min="9235" max="9235" width="24" style="156" customWidth="1"/>
    <col min="9236" max="9236" width="18.88671875" style="156" customWidth="1"/>
    <col min="9237" max="9461" width="7.33203125" style="156"/>
    <col min="9462" max="9462" width="4.44140625" style="156" customWidth="1"/>
    <col min="9463" max="9463" width="2.88671875" style="156" customWidth="1"/>
    <col min="9464" max="9464" width="22.5546875" style="156" customWidth="1"/>
    <col min="9465" max="9465" width="4.44140625" style="156" customWidth="1"/>
    <col min="9466" max="9466" width="10.88671875" style="156" customWidth="1"/>
    <col min="9467" max="9467" width="4.44140625" style="156" customWidth="1"/>
    <col min="9468" max="9468" width="10.88671875" style="156" customWidth="1"/>
    <col min="9469" max="9469" width="4.44140625" style="156" customWidth="1"/>
    <col min="9470" max="9470" width="10.88671875" style="156" customWidth="1"/>
    <col min="9471" max="9471" width="3.5546875" style="156" customWidth="1"/>
    <col min="9472" max="9472" width="9.44140625" style="156" customWidth="1"/>
    <col min="9473" max="9473" width="2.88671875" style="156" customWidth="1"/>
    <col min="9474" max="9475" width="4.44140625" style="156" customWidth="1"/>
    <col min="9476" max="9476" width="2.88671875" style="156" customWidth="1"/>
    <col min="9477" max="9477" width="29.88671875" style="156" customWidth="1"/>
    <col min="9478" max="9478" width="4.44140625" style="156" customWidth="1"/>
    <col min="9479" max="9479" width="9.44140625" style="156" customWidth="1"/>
    <col min="9480" max="9480" width="2.109375" style="156" customWidth="1"/>
    <col min="9481" max="9481" width="9.33203125" style="156" customWidth="1"/>
    <col min="9482" max="9482" width="2.109375" style="156" customWidth="1"/>
    <col min="9483" max="9483" width="9.109375" style="156" bestFit="1" customWidth="1"/>
    <col min="9484" max="9484" width="2.109375" style="156" customWidth="1"/>
    <col min="9485" max="9485" width="9.44140625" style="156" customWidth="1"/>
    <col min="9486" max="9486" width="3.109375" style="156" customWidth="1"/>
    <col min="9487" max="9487" width="9.44140625" style="156" customWidth="1"/>
    <col min="9488" max="9488" width="2.88671875" style="156" customWidth="1"/>
    <col min="9489" max="9489" width="4.44140625" style="156" customWidth="1"/>
    <col min="9490" max="9490" width="2.88671875" style="156" customWidth="1"/>
    <col min="9491" max="9491" width="24" style="156" customWidth="1"/>
    <col min="9492" max="9492" width="18.88671875" style="156" customWidth="1"/>
    <col min="9493" max="9717" width="7.33203125" style="156"/>
    <col min="9718" max="9718" width="4.44140625" style="156" customWidth="1"/>
    <col min="9719" max="9719" width="2.88671875" style="156" customWidth="1"/>
    <col min="9720" max="9720" width="22.5546875" style="156" customWidth="1"/>
    <col min="9721" max="9721" width="4.44140625" style="156" customWidth="1"/>
    <col min="9722" max="9722" width="10.88671875" style="156" customWidth="1"/>
    <col min="9723" max="9723" width="4.44140625" style="156" customWidth="1"/>
    <col min="9724" max="9724" width="10.88671875" style="156" customWidth="1"/>
    <col min="9725" max="9725" width="4.44140625" style="156" customWidth="1"/>
    <col min="9726" max="9726" width="10.88671875" style="156" customWidth="1"/>
    <col min="9727" max="9727" width="3.5546875" style="156" customWidth="1"/>
    <col min="9728" max="9728" width="9.44140625" style="156" customWidth="1"/>
    <col min="9729" max="9729" width="2.88671875" style="156" customWidth="1"/>
    <col min="9730" max="9731" width="4.44140625" style="156" customWidth="1"/>
    <col min="9732" max="9732" width="2.88671875" style="156" customWidth="1"/>
    <col min="9733" max="9733" width="29.88671875" style="156" customWidth="1"/>
    <col min="9734" max="9734" width="4.44140625" style="156" customWidth="1"/>
    <col min="9735" max="9735" width="9.44140625" style="156" customWidth="1"/>
    <col min="9736" max="9736" width="2.109375" style="156" customWidth="1"/>
    <col min="9737" max="9737" width="9.33203125" style="156" customWidth="1"/>
    <col min="9738" max="9738" width="2.109375" style="156" customWidth="1"/>
    <col min="9739" max="9739" width="9.109375" style="156" bestFit="1" customWidth="1"/>
    <col min="9740" max="9740" width="2.109375" style="156" customWidth="1"/>
    <col min="9741" max="9741" width="9.44140625" style="156" customWidth="1"/>
    <col min="9742" max="9742" width="3.109375" style="156" customWidth="1"/>
    <col min="9743" max="9743" width="9.44140625" style="156" customWidth="1"/>
    <col min="9744" max="9744" width="2.88671875" style="156" customWidth="1"/>
    <col min="9745" max="9745" width="4.44140625" style="156" customWidth="1"/>
    <col min="9746" max="9746" width="2.88671875" style="156" customWidth="1"/>
    <col min="9747" max="9747" width="24" style="156" customWidth="1"/>
    <col min="9748" max="9748" width="18.88671875" style="156" customWidth="1"/>
    <col min="9749" max="9973" width="7.33203125" style="156"/>
    <col min="9974" max="9974" width="4.44140625" style="156" customWidth="1"/>
    <col min="9975" max="9975" width="2.88671875" style="156" customWidth="1"/>
    <col min="9976" max="9976" width="22.5546875" style="156" customWidth="1"/>
    <col min="9977" max="9977" width="4.44140625" style="156" customWidth="1"/>
    <col min="9978" max="9978" width="10.88671875" style="156" customWidth="1"/>
    <col min="9979" max="9979" width="4.44140625" style="156" customWidth="1"/>
    <col min="9980" max="9980" width="10.88671875" style="156" customWidth="1"/>
    <col min="9981" max="9981" width="4.44140625" style="156" customWidth="1"/>
    <col min="9982" max="9982" width="10.88671875" style="156" customWidth="1"/>
    <col min="9983" max="9983" width="3.5546875" style="156" customWidth="1"/>
    <col min="9984" max="9984" width="9.44140625" style="156" customWidth="1"/>
    <col min="9985" max="9985" width="2.88671875" style="156" customWidth="1"/>
    <col min="9986" max="9987" width="4.44140625" style="156" customWidth="1"/>
    <col min="9988" max="9988" width="2.88671875" style="156" customWidth="1"/>
    <col min="9989" max="9989" width="29.88671875" style="156" customWidth="1"/>
    <col min="9990" max="9990" width="4.44140625" style="156" customWidth="1"/>
    <col min="9991" max="9991" width="9.44140625" style="156" customWidth="1"/>
    <col min="9992" max="9992" width="2.109375" style="156" customWidth="1"/>
    <col min="9993" max="9993" width="9.33203125" style="156" customWidth="1"/>
    <col min="9994" max="9994" width="2.109375" style="156" customWidth="1"/>
    <col min="9995" max="9995" width="9.109375" style="156" bestFit="1" customWidth="1"/>
    <col min="9996" max="9996" width="2.109375" style="156" customWidth="1"/>
    <col min="9997" max="9997" width="9.44140625" style="156" customWidth="1"/>
    <col min="9998" max="9998" width="3.109375" style="156" customWidth="1"/>
    <col min="9999" max="9999" width="9.44140625" style="156" customWidth="1"/>
    <col min="10000" max="10000" width="2.88671875" style="156" customWidth="1"/>
    <col min="10001" max="10001" width="4.44140625" style="156" customWidth="1"/>
    <col min="10002" max="10002" width="2.88671875" style="156" customWidth="1"/>
    <col min="10003" max="10003" width="24" style="156" customWidth="1"/>
    <col min="10004" max="10004" width="18.88671875" style="156" customWidth="1"/>
    <col min="10005" max="10229" width="7.33203125" style="156"/>
    <col min="10230" max="10230" width="4.44140625" style="156" customWidth="1"/>
    <col min="10231" max="10231" width="2.88671875" style="156" customWidth="1"/>
    <col min="10232" max="10232" width="22.5546875" style="156" customWidth="1"/>
    <col min="10233" max="10233" width="4.44140625" style="156" customWidth="1"/>
    <col min="10234" max="10234" width="10.88671875" style="156" customWidth="1"/>
    <col min="10235" max="10235" width="4.44140625" style="156" customWidth="1"/>
    <col min="10236" max="10236" width="10.88671875" style="156" customWidth="1"/>
    <col min="10237" max="10237" width="4.44140625" style="156" customWidth="1"/>
    <col min="10238" max="10238" width="10.88671875" style="156" customWidth="1"/>
    <col min="10239" max="10239" width="3.5546875" style="156" customWidth="1"/>
    <col min="10240" max="10240" width="9.44140625" style="156" customWidth="1"/>
    <col min="10241" max="10241" width="2.88671875" style="156" customWidth="1"/>
    <col min="10242" max="10243" width="4.44140625" style="156" customWidth="1"/>
    <col min="10244" max="10244" width="2.88671875" style="156" customWidth="1"/>
    <col min="10245" max="10245" width="29.88671875" style="156" customWidth="1"/>
    <col min="10246" max="10246" width="4.44140625" style="156" customWidth="1"/>
    <col min="10247" max="10247" width="9.44140625" style="156" customWidth="1"/>
    <col min="10248" max="10248" width="2.109375" style="156" customWidth="1"/>
    <col min="10249" max="10249" width="9.33203125" style="156" customWidth="1"/>
    <col min="10250" max="10250" width="2.109375" style="156" customWidth="1"/>
    <col min="10251" max="10251" width="9.109375" style="156" bestFit="1" customWidth="1"/>
    <col min="10252" max="10252" width="2.109375" style="156" customWidth="1"/>
    <col min="10253" max="10253" width="9.44140625" style="156" customWidth="1"/>
    <col min="10254" max="10254" width="3.109375" style="156" customWidth="1"/>
    <col min="10255" max="10255" width="9.44140625" style="156" customWidth="1"/>
    <col min="10256" max="10256" width="2.88671875" style="156" customWidth="1"/>
    <col min="10257" max="10257" width="4.44140625" style="156" customWidth="1"/>
    <col min="10258" max="10258" width="2.88671875" style="156" customWidth="1"/>
    <col min="10259" max="10259" width="24" style="156" customWidth="1"/>
    <col min="10260" max="10260" width="18.88671875" style="156" customWidth="1"/>
    <col min="10261" max="10485" width="7.33203125" style="156"/>
    <col min="10486" max="10486" width="4.44140625" style="156" customWidth="1"/>
    <col min="10487" max="10487" width="2.88671875" style="156" customWidth="1"/>
    <col min="10488" max="10488" width="22.5546875" style="156" customWidth="1"/>
    <col min="10489" max="10489" width="4.44140625" style="156" customWidth="1"/>
    <col min="10490" max="10490" width="10.88671875" style="156" customWidth="1"/>
    <col min="10491" max="10491" width="4.44140625" style="156" customWidth="1"/>
    <col min="10492" max="10492" width="10.88671875" style="156" customWidth="1"/>
    <col min="10493" max="10493" width="4.44140625" style="156" customWidth="1"/>
    <col min="10494" max="10494" width="10.88671875" style="156" customWidth="1"/>
    <col min="10495" max="10495" width="3.5546875" style="156" customWidth="1"/>
    <col min="10496" max="10496" width="9.44140625" style="156" customWidth="1"/>
    <col min="10497" max="10497" width="2.88671875" style="156" customWidth="1"/>
    <col min="10498" max="10499" width="4.44140625" style="156" customWidth="1"/>
    <col min="10500" max="10500" width="2.88671875" style="156" customWidth="1"/>
    <col min="10501" max="10501" width="29.88671875" style="156" customWidth="1"/>
    <col min="10502" max="10502" width="4.44140625" style="156" customWidth="1"/>
    <col min="10503" max="10503" width="9.44140625" style="156" customWidth="1"/>
    <col min="10504" max="10504" width="2.109375" style="156" customWidth="1"/>
    <col min="10505" max="10505" width="9.33203125" style="156" customWidth="1"/>
    <col min="10506" max="10506" width="2.109375" style="156" customWidth="1"/>
    <col min="10507" max="10507" width="9.109375" style="156" bestFit="1" customWidth="1"/>
    <col min="10508" max="10508" width="2.109375" style="156" customWidth="1"/>
    <col min="10509" max="10509" width="9.44140625" style="156" customWidth="1"/>
    <col min="10510" max="10510" width="3.109375" style="156" customWidth="1"/>
    <col min="10511" max="10511" width="9.44140625" style="156" customWidth="1"/>
    <col min="10512" max="10512" width="2.88671875" style="156" customWidth="1"/>
    <col min="10513" max="10513" width="4.44140625" style="156" customWidth="1"/>
    <col min="10514" max="10514" width="2.88671875" style="156" customWidth="1"/>
    <col min="10515" max="10515" width="24" style="156" customWidth="1"/>
    <col min="10516" max="10516" width="18.88671875" style="156" customWidth="1"/>
    <col min="10517" max="10741" width="7.33203125" style="156"/>
    <col min="10742" max="10742" width="4.44140625" style="156" customWidth="1"/>
    <col min="10743" max="10743" width="2.88671875" style="156" customWidth="1"/>
    <col min="10744" max="10744" width="22.5546875" style="156" customWidth="1"/>
    <col min="10745" max="10745" width="4.44140625" style="156" customWidth="1"/>
    <col min="10746" max="10746" width="10.88671875" style="156" customWidth="1"/>
    <col min="10747" max="10747" width="4.44140625" style="156" customWidth="1"/>
    <col min="10748" max="10748" width="10.88671875" style="156" customWidth="1"/>
    <col min="10749" max="10749" width="4.44140625" style="156" customWidth="1"/>
    <col min="10750" max="10750" width="10.88671875" style="156" customWidth="1"/>
    <col min="10751" max="10751" width="3.5546875" style="156" customWidth="1"/>
    <col min="10752" max="10752" width="9.44140625" style="156" customWidth="1"/>
    <col min="10753" max="10753" width="2.88671875" style="156" customWidth="1"/>
    <col min="10754" max="10755" width="4.44140625" style="156" customWidth="1"/>
    <col min="10756" max="10756" width="2.88671875" style="156" customWidth="1"/>
    <col min="10757" max="10757" width="29.88671875" style="156" customWidth="1"/>
    <col min="10758" max="10758" width="4.44140625" style="156" customWidth="1"/>
    <col min="10759" max="10759" width="9.44140625" style="156" customWidth="1"/>
    <col min="10760" max="10760" width="2.109375" style="156" customWidth="1"/>
    <col min="10761" max="10761" width="9.33203125" style="156" customWidth="1"/>
    <col min="10762" max="10762" width="2.109375" style="156" customWidth="1"/>
    <col min="10763" max="10763" width="9.109375" style="156" bestFit="1" customWidth="1"/>
    <col min="10764" max="10764" width="2.109375" style="156" customWidth="1"/>
    <col min="10765" max="10765" width="9.44140625" style="156" customWidth="1"/>
    <col min="10766" max="10766" width="3.109375" style="156" customWidth="1"/>
    <col min="10767" max="10767" width="9.44140625" style="156" customWidth="1"/>
    <col min="10768" max="10768" width="2.88671875" style="156" customWidth="1"/>
    <col min="10769" max="10769" width="4.44140625" style="156" customWidth="1"/>
    <col min="10770" max="10770" width="2.88671875" style="156" customWidth="1"/>
    <col min="10771" max="10771" width="24" style="156" customWidth="1"/>
    <col min="10772" max="10772" width="18.88671875" style="156" customWidth="1"/>
    <col min="10773" max="10997" width="7.33203125" style="156"/>
    <col min="10998" max="10998" width="4.44140625" style="156" customWidth="1"/>
    <col min="10999" max="10999" width="2.88671875" style="156" customWidth="1"/>
    <col min="11000" max="11000" width="22.5546875" style="156" customWidth="1"/>
    <col min="11001" max="11001" width="4.44140625" style="156" customWidth="1"/>
    <col min="11002" max="11002" width="10.88671875" style="156" customWidth="1"/>
    <col min="11003" max="11003" width="4.44140625" style="156" customWidth="1"/>
    <col min="11004" max="11004" width="10.88671875" style="156" customWidth="1"/>
    <col min="11005" max="11005" width="4.44140625" style="156" customWidth="1"/>
    <col min="11006" max="11006" width="10.88671875" style="156" customWidth="1"/>
    <col min="11007" max="11007" width="3.5546875" style="156" customWidth="1"/>
    <col min="11008" max="11008" width="9.44140625" style="156" customWidth="1"/>
    <col min="11009" max="11009" width="2.88671875" style="156" customWidth="1"/>
    <col min="11010" max="11011" width="4.44140625" style="156" customWidth="1"/>
    <col min="11012" max="11012" width="2.88671875" style="156" customWidth="1"/>
    <col min="11013" max="11013" width="29.88671875" style="156" customWidth="1"/>
    <col min="11014" max="11014" width="4.44140625" style="156" customWidth="1"/>
    <col min="11015" max="11015" width="9.44140625" style="156" customWidth="1"/>
    <col min="11016" max="11016" width="2.109375" style="156" customWidth="1"/>
    <col min="11017" max="11017" width="9.33203125" style="156" customWidth="1"/>
    <col min="11018" max="11018" width="2.109375" style="156" customWidth="1"/>
    <col min="11019" max="11019" width="9.109375" style="156" bestFit="1" customWidth="1"/>
    <col min="11020" max="11020" width="2.109375" style="156" customWidth="1"/>
    <col min="11021" max="11021" width="9.44140625" style="156" customWidth="1"/>
    <col min="11022" max="11022" width="3.109375" style="156" customWidth="1"/>
    <col min="11023" max="11023" width="9.44140625" style="156" customWidth="1"/>
    <col min="11024" max="11024" width="2.88671875" style="156" customWidth="1"/>
    <col min="11025" max="11025" width="4.44140625" style="156" customWidth="1"/>
    <col min="11026" max="11026" width="2.88671875" style="156" customWidth="1"/>
    <col min="11027" max="11027" width="24" style="156" customWidth="1"/>
    <col min="11028" max="11028" width="18.88671875" style="156" customWidth="1"/>
    <col min="11029" max="11253" width="7.33203125" style="156"/>
    <col min="11254" max="11254" width="4.44140625" style="156" customWidth="1"/>
    <col min="11255" max="11255" width="2.88671875" style="156" customWidth="1"/>
    <col min="11256" max="11256" width="22.5546875" style="156" customWidth="1"/>
    <col min="11257" max="11257" width="4.44140625" style="156" customWidth="1"/>
    <col min="11258" max="11258" width="10.88671875" style="156" customWidth="1"/>
    <col min="11259" max="11259" width="4.44140625" style="156" customWidth="1"/>
    <col min="11260" max="11260" width="10.88671875" style="156" customWidth="1"/>
    <col min="11261" max="11261" width="4.44140625" style="156" customWidth="1"/>
    <col min="11262" max="11262" width="10.88671875" style="156" customWidth="1"/>
    <col min="11263" max="11263" width="3.5546875" style="156" customWidth="1"/>
    <col min="11264" max="11264" width="9.44140625" style="156" customWidth="1"/>
    <col min="11265" max="11265" width="2.88671875" style="156" customWidth="1"/>
    <col min="11266" max="11267" width="4.44140625" style="156" customWidth="1"/>
    <col min="11268" max="11268" width="2.88671875" style="156" customWidth="1"/>
    <col min="11269" max="11269" width="29.88671875" style="156" customWidth="1"/>
    <col min="11270" max="11270" width="4.44140625" style="156" customWidth="1"/>
    <col min="11271" max="11271" width="9.44140625" style="156" customWidth="1"/>
    <col min="11272" max="11272" width="2.109375" style="156" customWidth="1"/>
    <col min="11273" max="11273" width="9.33203125" style="156" customWidth="1"/>
    <col min="11274" max="11274" width="2.109375" style="156" customWidth="1"/>
    <col min="11275" max="11275" width="9.109375" style="156" bestFit="1" customWidth="1"/>
    <col min="11276" max="11276" width="2.109375" style="156" customWidth="1"/>
    <col min="11277" max="11277" width="9.44140625" style="156" customWidth="1"/>
    <col min="11278" max="11278" width="3.109375" style="156" customWidth="1"/>
    <col min="11279" max="11279" width="9.44140625" style="156" customWidth="1"/>
    <col min="11280" max="11280" width="2.88671875" style="156" customWidth="1"/>
    <col min="11281" max="11281" width="4.44140625" style="156" customWidth="1"/>
    <col min="11282" max="11282" width="2.88671875" style="156" customWidth="1"/>
    <col min="11283" max="11283" width="24" style="156" customWidth="1"/>
    <col min="11284" max="11284" width="18.88671875" style="156" customWidth="1"/>
    <col min="11285" max="11509" width="7.33203125" style="156"/>
    <col min="11510" max="11510" width="4.44140625" style="156" customWidth="1"/>
    <col min="11511" max="11511" width="2.88671875" style="156" customWidth="1"/>
    <col min="11512" max="11512" width="22.5546875" style="156" customWidth="1"/>
    <col min="11513" max="11513" width="4.44140625" style="156" customWidth="1"/>
    <col min="11514" max="11514" width="10.88671875" style="156" customWidth="1"/>
    <col min="11515" max="11515" width="4.44140625" style="156" customWidth="1"/>
    <col min="11516" max="11516" width="10.88671875" style="156" customWidth="1"/>
    <col min="11517" max="11517" width="4.44140625" style="156" customWidth="1"/>
    <col min="11518" max="11518" width="10.88671875" style="156" customWidth="1"/>
    <col min="11519" max="11519" width="3.5546875" style="156" customWidth="1"/>
    <col min="11520" max="11520" width="9.44140625" style="156" customWidth="1"/>
    <col min="11521" max="11521" width="2.88671875" style="156" customWidth="1"/>
    <col min="11522" max="11523" width="4.44140625" style="156" customWidth="1"/>
    <col min="11524" max="11524" width="2.88671875" style="156" customWidth="1"/>
    <col min="11525" max="11525" width="29.88671875" style="156" customWidth="1"/>
    <col min="11526" max="11526" width="4.44140625" style="156" customWidth="1"/>
    <col min="11527" max="11527" width="9.44140625" style="156" customWidth="1"/>
    <col min="11528" max="11528" width="2.109375" style="156" customWidth="1"/>
    <col min="11529" max="11529" width="9.33203125" style="156" customWidth="1"/>
    <col min="11530" max="11530" width="2.109375" style="156" customWidth="1"/>
    <col min="11531" max="11531" width="9.109375" style="156" bestFit="1" customWidth="1"/>
    <col min="11532" max="11532" width="2.109375" style="156" customWidth="1"/>
    <col min="11533" max="11533" width="9.44140625" style="156" customWidth="1"/>
    <col min="11534" max="11534" width="3.109375" style="156" customWidth="1"/>
    <col min="11535" max="11535" width="9.44140625" style="156" customWidth="1"/>
    <col min="11536" max="11536" width="2.88671875" style="156" customWidth="1"/>
    <col min="11537" max="11537" width="4.44140625" style="156" customWidth="1"/>
    <col min="11538" max="11538" width="2.88671875" style="156" customWidth="1"/>
    <col min="11539" max="11539" width="24" style="156" customWidth="1"/>
    <col min="11540" max="11540" width="18.88671875" style="156" customWidth="1"/>
    <col min="11541" max="11765" width="7.33203125" style="156"/>
    <col min="11766" max="11766" width="4.44140625" style="156" customWidth="1"/>
    <col min="11767" max="11767" width="2.88671875" style="156" customWidth="1"/>
    <col min="11768" max="11768" width="22.5546875" style="156" customWidth="1"/>
    <col min="11769" max="11769" width="4.44140625" style="156" customWidth="1"/>
    <col min="11770" max="11770" width="10.88671875" style="156" customWidth="1"/>
    <col min="11771" max="11771" width="4.44140625" style="156" customWidth="1"/>
    <col min="11772" max="11772" width="10.88671875" style="156" customWidth="1"/>
    <col min="11773" max="11773" width="4.44140625" style="156" customWidth="1"/>
    <col min="11774" max="11774" width="10.88671875" style="156" customWidth="1"/>
    <col min="11775" max="11775" width="3.5546875" style="156" customWidth="1"/>
    <col min="11776" max="11776" width="9.44140625" style="156" customWidth="1"/>
    <col min="11777" max="11777" width="2.88671875" style="156" customWidth="1"/>
    <col min="11778" max="11779" width="4.44140625" style="156" customWidth="1"/>
    <col min="11780" max="11780" width="2.88671875" style="156" customWidth="1"/>
    <col min="11781" max="11781" width="29.88671875" style="156" customWidth="1"/>
    <col min="11782" max="11782" width="4.44140625" style="156" customWidth="1"/>
    <col min="11783" max="11783" width="9.44140625" style="156" customWidth="1"/>
    <col min="11784" max="11784" width="2.109375" style="156" customWidth="1"/>
    <col min="11785" max="11785" width="9.33203125" style="156" customWidth="1"/>
    <col min="11786" max="11786" width="2.109375" style="156" customWidth="1"/>
    <col min="11787" max="11787" width="9.109375" style="156" bestFit="1" customWidth="1"/>
    <col min="11788" max="11788" width="2.109375" style="156" customWidth="1"/>
    <col min="11789" max="11789" width="9.44140625" style="156" customWidth="1"/>
    <col min="11790" max="11790" width="3.109375" style="156" customWidth="1"/>
    <col min="11791" max="11791" width="9.44140625" style="156" customWidth="1"/>
    <col min="11792" max="11792" width="2.88671875" style="156" customWidth="1"/>
    <col min="11793" max="11793" width="4.44140625" style="156" customWidth="1"/>
    <col min="11794" max="11794" width="2.88671875" style="156" customWidth="1"/>
    <col min="11795" max="11795" width="24" style="156" customWidth="1"/>
    <col min="11796" max="11796" width="18.88671875" style="156" customWidth="1"/>
    <col min="11797" max="12021" width="7.33203125" style="156"/>
    <col min="12022" max="12022" width="4.44140625" style="156" customWidth="1"/>
    <col min="12023" max="12023" width="2.88671875" style="156" customWidth="1"/>
    <col min="12024" max="12024" width="22.5546875" style="156" customWidth="1"/>
    <col min="12025" max="12025" width="4.44140625" style="156" customWidth="1"/>
    <col min="12026" max="12026" width="10.88671875" style="156" customWidth="1"/>
    <col min="12027" max="12027" width="4.44140625" style="156" customWidth="1"/>
    <col min="12028" max="12028" width="10.88671875" style="156" customWidth="1"/>
    <col min="12029" max="12029" width="4.44140625" style="156" customWidth="1"/>
    <col min="12030" max="12030" width="10.88671875" style="156" customWidth="1"/>
    <col min="12031" max="12031" width="3.5546875" style="156" customWidth="1"/>
    <col min="12032" max="12032" width="9.44140625" style="156" customWidth="1"/>
    <col min="12033" max="12033" width="2.88671875" style="156" customWidth="1"/>
    <col min="12034" max="12035" width="4.44140625" style="156" customWidth="1"/>
    <col min="12036" max="12036" width="2.88671875" style="156" customWidth="1"/>
    <col min="12037" max="12037" width="29.88671875" style="156" customWidth="1"/>
    <col min="12038" max="12038" width="4.44140625" style="156" customWidth="1"/>
    <col min="12039" max="12039" width="9.44140625" style="156" customWidth="1"/>
    <col min="12040" max="12040" width="2.109375" style="156" customWidth="1"/>
    <col min="12041" max="12041" width="9.33203125" style="156" customWidth="1"/>
    <col min="12042" max="12042" width="2.109375" style="156" customWidth="1"/>
    <col min="12043" max="12043" width="9.109375" style="156" bestFit="1" customWidth="1"/>
    <col min="12044" max="12044" width="2.109375" style="156" customWidth="1"/>
    <col min="12045" max="12045" width="9.44140625" style="156" customWidth="1"/>
    <col min="12046" max="12046" width="3.109375" style="156" customWidth="1"/>
    <col min="12047" max="12047" width="9.44140625" style="156" customWidth="1"/>
    <col min="12048" max="12048" width="2.88671875" style="156" customWidth="1"/>
    <col min="12049" max="12049" width="4.44140625" style="156" customWidth="1"/>
    <col min="12050" max="12050" width="2.88671875" style="156" customWidth="1"/>
    <col min="12051" max="12051" width="24" style="156" customWidth="1"/>
    <col min="12052" max="12052" width="18.88671875" style="156" customWidth="1"/>
    <col min="12053" max="12277" width="7.33203125" style="156"/>
    <col min="12278" max="12278" width="4.44140625" style="156" customWidth="1"/>
    <col min="12279" max="12279" width="2.88671875" style="156" customWidth="1"/>
    <col min="12280" max="12280" width="22.5546875" style="156" customWidth="1"/>
    <col min="12281" max="12281" width="4.44140625" style="156" customWidth="1"/>
    <col min="12282" max="12282" width="10.88671875" style="156" customWidth="1"/>
    <col min="12283" max="12283" width="4.44140625" style="156" customWidth="1"/>
    <col min="12284" max="12284" width="10.88671875" style="156" customWidth="1"/>
    <col min="12285" max="12285" width="4.44140625" style="156" customWidth="1"/>
    <col min="12286" max="12286" width="10.88671875" style="156" customWidth="1"/>
    <col min="12287" max="12287" width="3.5546875" style="156" customWidth="1"/>
    <col min="12288" max="12288" width="9.44140625" style="156" customWidth="1"/>
    <col min="12289" max="12289" width="2.88671875" style="156" customWidth="1"/>
    <col min="12290" max="12291" width="4.44140625" style="156" customWidth="1"/>
    <col min="12292" max="12292" width="2.88671875" style="156" customWidth="1"/>
    <col min="12293" max="12293" width="29.88671875" style="156" customWidth="1"/>
    <col min="12294" max="12294" width="4.44140625" style="156" customWidth="1"/>
    <col min="12295" max="12295" width="9.44140625" style="156" customWidth="1"/>
    <col min="12296" max="12296" width="2.109375" style="156" customWidth="1"/>
    <col min="12297" max="12297" width="9.33203125" style="156" customWidth="1"/>
    <col min="12298" max="12298" width="2.109375" style="156" customWidth="1"/>
    <col min="12299" max="12299" width="9.109375" style="156" bestFit="1" customWidth="1"/>
    <col min="12300" max="12300" width="2.109375" style="156" customWidth="1"/>
    <col min="12301" max="12301" width="9.44140625" style="156" customWidth="1"/>
    <col min="12302" max="12302" width="3.109375" style="156" customWidth="1"/>
    <col min="12303" max="12303" width="9.44140625" style="156" customWidth="1"/>
    <col min="12304" max="12304" width="2.88671875" style="156" customWidth="1"/>
    <col min="12305" max="12305" width="4.44140625" style="156" customWidth="1"/>
    <col min="12306" max="12306" width="2.88671875" style="156" customWidth="1"/>
    <col min="12307" max="12307" width="24" style="156" customWidth="1"/>
    <col min="12308" max="12308" width="18.88671875" style="156" customWidth="1"/>
    <col min="12309" max="12533" width="7.33203125" style="156"/>
    <col min="12534" max="12534" width="4.44140625" style="156" customWidth="1"/>
    <col min="12535" max="12535" width="2.88671875" style="156" customWidth="1"/>
    <col min="12536" max="12536" width="22.5546875" style="156" customWidth="1"/>
    <col min="12537" max="12537" width="4.44140625" style="156" customWidth="1"/>
    <col min="12538" max="12538" width="10.88671875" style="156" customWidth="1"/>
    <col min="12539" max="12539" width="4.44140625" style="156" customWidth="1"/>
    <col min="12540" max="12540" width="10.88671875" style="156" customWidth="1"/>
    <col min="12541" max="12541" width="4.44140625" style="156" customWidth="1"/>
    <col min="12542" max="12542" width="10.88671875" style="156" customWidth="1"/>
    <col min="12543" max="12543" width="3.5546875" style="156" customWidth="1"/>
    <col min="12544" max="12544" width="9.44140625" style="156" customWidth="1"/>
    <col min="12545" max="12545" width="2.88671875" style="156" customWidth="1"/>
    <col min="12546" max="12547" width="4.44140625" style="156" customWidth="1"/>
    <col min="12548" max="12548" width="2.88671875" style="156" customWidth="1"/>
    <col min="12549" max="12549" width="29.88671875" style="156" customWidth="1"/>
    <col min="12550" max="12550" width="4.44140625" style="156" customWidth="1"/>
    <col min="12551" max="12551" width="9.44140625" style="156" customWidth="1"/>
    <col min="12552" max="12552" width="2.109375" style="156" customWidth="1"/>
    <col min="12553" max="12553" width="9.33203125" style="156" customWidth="1"/>
    <col min="12554" max="12554" width="2.109375" style="156" customWidth="1"/>
    <col min="12555" max="12555" width="9.109375" style="156" bestFit="1" customWidth="1"/>
    <col min="12556" max="12556" width="2.109375" style="156" customWidth="1"/>
    <col min="12557" max="12557" width="9.44140625" style="156" customWidth="1"/>
    <col min="12558" max="12558" width="3.109375" style="156" customWidth="1"/>
    <col min="12559" max="12559" width="9.44140625" style="156" customWidth="1"/>
    <col min="12560" max="12560" width="2.88671875" style="156" customWidth="1"/>
    <col min="12561" max="12561" width="4.44140625" style="156" customWidth="1"/>
    <col min="12562" max="12562" width="2.88671875" style="156" customWidth="1"/>
    <col min="12563" max="12563" width="24" style="156" customWidth="1"/>
    <col min="12564" max="12564" width="18.88671875" style="156" customWidth="1"/>
    <col min="12565" max="12789" width="7.33203125" style="156"/>
    <col min="12790" max="12790" width="4.44140625" style="156" customWidth="1"/>
    <col min="12791" max="12791" width="2.88671875" style="156" customWidth="1"/>
    <col min="12792" max="12792" width="22.5546875" style="156" customWidth="1"/>
    <col min="12793" max="12793" width="4.44140625" style="156" customWidth="1"/>
    <col min="12794" max="12794" width="10.88671875" style="156" customWidth="1"/>
    <col min="12795" max="12795" width="4.44140625" style="156" customWidth="1"/>
    <col min="12796" max="12796" width="10.88671875" style="156" customWidth="1"/>
    <col min="12797" max="12797" width="4.44140625" style="156" customWidth="1"/>
    <col min="12798" max="12798" width="10.88671875" style="156" customWidth="1"/>
    <col min="12799" max="12799" width="3.5546875" style="156" customWidth="1"/>
    <col min="12800" max="12800" width="9.44140625" style="156" customWidth="1"/>
    <col min="12801" max="12801" width="2.88671875" style="156" customWidth="1"/>
    <col min="12802" max="12803" width="4.44140625" style="156" customWidth="1"/>
    <col min="12804" max="12804" width="2.88671875" style="156" customWidth="1"/>
    <col min="12805" max="12805" width="29.88671875" style="156" customWidth="1"/>
    <col min="12806" max="12806" width="4.44140625" style="156" customWidth="1"/>
    <col min="12807" max="12807" width="9.44140625" style="156" customWidth="1"/>
    <col min="12808" max="12808" width="2.109375" style="156" customWidth="1"/>
    <col min="12809" max="12809" width="9.33203125" style="156" customWidth="1"/>
    <col min="12810" max="12810" width="2.109375" style="156" customWidth="1"/>
    <col min="12811" max="12811" width="9.109375" style="156" bestFit="1" customWidth="1"/>
    <col min="12812" max="12812" width="2.109375" style="156" customWidth="1"/>
    <col min="12813" max="12813" width="9.44140625" style="156" customWidth="1"/>
    <col min="12814" max="12814" width="3.109375" style="156" customWidth="1"/>
    <col min="12815" max="12815" width="9.44140625" style="156" customWidth="1"/>
    <col min="12816" max="12816" width="2.88671875" style="156" customWidth="1"/>
    <col min="12817" max="12817" width="4.44140625" style="156" customWidth="1"/>
    <col min="12818" max="12818" width="2.88671875" style="156" customWidth="1"/>
    <col min="12819" max="12819" width="24" style="156" customWidth="1"/>
    <col min="12820" max="12820" width="18.88671875" style="156" customWidth="1"/>
    <col min="12821" max="13045" width="7.33203125" style="156"/>
    <col min="13046" max="13046" width="4.44140625" style="156" customWidth="1"/>
    <col min="13047" max="13047" width="2.88671875" style="156" customWidth="1"/>
    <col min="13048" max="13048" width="22.5546875" style="156" customWidth="1"/>
    <col min="13049" max="13049" width="4.44140625" style="156" customWidth="1"/>
    <col min="13050" max="13050" width="10.88671875" style="156" customWidth="1"/>
    <col min="13051" max="13051" width="4.44140625" style="156" customWidth="1"/>
    <col min="13052" max="13052" width="10.88671875" style="156" customWidth="1"/>
    <col min="13053" max="13053" width="4.44140625" style="156" customWidth="1"/>
    <col min="13054" max="13054" width="10.88671875" style="156" customWidth="1"/>
    <col min="13055" max="13055" width="3.5546875" style="156" customWidth="1"/>
    <col min="13056" max="13056" width="9.44140625" style="156" customWidth="1"/>
    <col min="13057" max="13057" width="2.88671875" style="156" customWidth="1"/>
    <col min="13058" max="13059" width="4.44140625" style="156" customWidth="1"/>
    <col min="13060" max="13060" width="2.88671875" style="156" customWidth="1"/>
    <col min="13061" max="13061" width="29.88671875" style="156" customWidth="1"/>
    <col min="13062" max="13062" width="4.44140625" style="156" customWidth="1"/>
    <col min="13063" max="13063" width="9.44140625" style="156" customWidth="1"/>
    <col min="13064" max="13064" width="2.109375" style="156" customWidth="1"/>
    <col min="13065" max="13065" width="9.33203125" style="156" customWidth="1"/>
    <col min="13066" max="13066" width="2.109375" style="156" customWidth="1"/>
    <col min="13067" max="13067" width="9.109375" style="156" bestFit="1" customWidth="1"/>
    <col min="13068" max="13068" width="2.109375" style="156" customWidth="1"/>
    <col min="13069" max="13069" width="9.44140625" style="156" customWidth="1"/>
    <col min="13070" max="13070" width="3.109375" style="156" customWidth="1"/>
    <col min="13071" max="13071" width="9.44140625" style="156" customWidth="1"/>
    <col min="13072" max="13072" width="2.88671875" style="156" customWidth="1"/>
    <col min="13073" max="13073" width="4.44140625" style="156" customWidth="1"/>
    <col min="13074" max="13074" width="2.88671875" style="156" customWidth="1"/>
    <col min="13075" max="13075" width="24" style="156" customWidth="1"/>
    <col min="13076" max="13076" width="18.88671875" style="156" customWidth="1"/>
    <col min="13077" max="13301" width="7.33203125" style="156"/>
    <col min="13302" max="13302" width="4.44140625" style="156" customWidth="1"/>
    <col min="13303" max="13303" width="2.88671875" style="156" customWidth="1"/>
    <col min="13304" max="13304" width="22.5546875" style="156" customWidth="1"/>
    <col min="13305" max="13305" width="4.44140625" style="156" customWidth="1"/>
    <col min="13306" max="13306" width="10.88671875" style="156" customWidth="1"/>
    <col min="13307" max="13307" width="4.44140625" style="156" customWidth="1"/>
    <col min="13308" max="13308" width="10.88671875" style="156" customWidth="1"/>
    <col min="13309" max="13309" width="4.44140625" style="156" customWidth="1"/>
    <col min="13310" max="13310" width="10.88671875" style="156" customWidth="1"/>
    <col min="13311" max="13311" width="3.5546875" style="156" customWidth="1"/>
    <col min="13312" max="13312" width="9.44140625" style="156" customWidth="1"/>
    <col min="13313" max="13313" width="2.88671875" style="156" customWidth="1"/>
    <col min="13314" max="13315" width="4.44140625" style="156" customWidth="1"/>
    <col min="13316" max="13316" width="2.88671875" style="156" customWidth="1"/>
    <col min="13317" max="13317" width="29.88671875" style="156" customWidth="1"/>
    <col min="13318" max="13318" width="4.44140625" style="156" customWidth="1"/>
    <col min="13319" max="13319" width="9.44140625" style="156" customWidth="1"/>
    <col min="13320" max="13320" width="2.109375" style="156" customWidth="1"/>
    <col min="13321" max="13321" width="9.33203125" style="156" customWidth="1"/>
    <col min="13322" max="13322" width="2.109375" style="156" customWidth="1"/>
    <col min="13323" max="13323" width="9.109375" style="156" bestFit="1" customWidth="1"/>
    <col min="13324" max="13324" width="2.109375" style="156" customWidth="1"/>
    <col min="13325" max="13325" width="9.44140625" style="156" customWidth="1"/>
    <col min="13326" max="13326" width="3.109375" style="156" customWidth="1"/>
    <col min="13327" max="13327" width="9.44140625" style="156" customWidth="1"/>
    <col min="13328" max="13328" width="2.88671875" style="156" customWidth="1"/>
    <col min="13329" max="13329" width="4.44140625" style="156" customWidth="1"/>
    <col min="13330" max="13330" width="2.88671875" style="156" customWidth="1"/>
    <col min="13331" max="13331" width="24" style="156" customWidth="1"/>
    <col min="13332" max="13332" width="18.88671875" style="156" customWidth="1"/>
    <col min="13333" max="13557" width="7.33203125" style="156"/>
    <col min="13558" max="13558" width="4.44140625" style="156" customWidth="1"/>
    <col min="13559" max="13559" width="2.88671875" style="156" customWidth="1"/>
    <col min="13560" max="13560" width="22.5546875" style="156" customWidth="1"/>
    <col min="13561" max="13561" width="4.44140625" style="156" customWidth="1"/>
    <col min="13562" max="13562" width="10.88671875" style="156" customWidth="1"/>
    <col min="13563" max="13563" width="4.44140625" style="156" customWidth="1"/>
    <col min="13564" max="13564" width="10.88671875" style="156" customWidth="1"/>
    <col min="13565" max="13565" width="4.44140625" style="156" customWidth="1"/>
    <col min="13566" max="13566" width="10.88671875" style="156" customWidth="1"/>
    <col min="13567" max="13567" width="3.5546875" style="156" customWidth="1"/>
    <col min="13568" max="13568" width="9.44140625" style="156" customWidth="1"/>
    <col min="13569" max="13569" width="2.88671875" style="156" customWidth="1"/>
    <col min="13570" max="13571" width="4.44140625" style="156" customWidth="1"/>
    <col min="13572" max="13572" width="2.88671875" style="156" customWidth="1"/>
    <col min="13573" max="13573" width="29.88671875" style="156" customWidth="1"/>
    <col min="13574" max="13574" width="4.44140625" style="156" customWidth="1"/>
    <col min="13575" max="13575" width="9.44140625" style="156" customWidth="1"/>
    <col min="13576" max="13576" width="2.109375" style="156" customWidth="1"/>
    <col min="13577" max="13577" width="9.33203125" style="156" customWidth="1"/>
    <col min="13578" max="13578" width="2.109375" style="156" customWidth="1"/>
    <col min="13579" max="13579" width="9.109375" style="156" bestFit="1" customWidth="1"/>
    <col min="13580" max="13580" width="2.109375" style="156" customWidth="1"/>
    <col min="13581" max="13581" width="9.44140625" style="156" customWidth="1"/>
    <col min="13582" max="13582" width="3.109375" style="156" customWidth="1"/>
    <col min="13583" max="13583" width="9.44140625" style="156" customWidth="1"/>
    <col min="13584" max="13584" width="2.88671875" style="156" customWidth="1"/>
    <col min="13585" max="13585" width="4.44140625" style="156" customWidth="1"/>
    <col min="13586" max="13586" width="2.88671875" style="156" customWidth="1"/>
    <col min="13587" max="13587" width="24" style="156" customWidth="1"/>
    <col min="13588" max="13588" width="18.88671875" style="156" customWidth="1"/>
    <col min="13589" max="13813" width="7.33203125" style="156"/>
    <col min="13814" max="13814" width="4.44140625" style="156" customWidth="1"/>
    <col min="13815" max="13815" width="2.88671875" style="156" customWidth="1"/>
    <col min="13816" max="13816" width="22.5546875" style="156" customWidth="1"/>
    <col min="13817" max="13817" width="4.44140625" style="156" customWidth="1"/>
    <col min="13818" max="13818" width="10.88671875" style="156" customWidth="1"/>
    <col min="13819" max="13819" width="4.44140625" style="156" customWidth="1"/>
    <col min="13820" max="13820" width="10.88671875" style="156" customWidth="1"/>
    <col min="13821" max="13821" width="4.44140625" style="156" customWidth="1"/>
    <col min="13822" max="13822" width="10.88671875" style="156" customWidth="1"/>
    <col min="13823" max="13823" width="3.5546875" style="156" customWidth="1"/>
    <col min="13824" max="13824" width="9.44140625" style="156" customWidth="1"/>
    <col min="13825" max="13825" width="2.88671875" style="156" customWidth="1"/>
    <col min="13826" max="13827" width="4.44140625" style="156" customWidth="1"/>
    <col min="13828" max="13828" width="2.88671875" style="156" customWidth="1"/>
    <col min="13829" max="13829" width="29.88671875" style="156" customWidth="1"/>
    <col min="13830" max="13830" width="4.44140625" style="156" customWidth="1"/>
    <col min="13831" max="13831" width="9.44140625" style="156" customWidth="1"/>
    <col min="13832" max="13832" width="2.109375" style="156" customWidth="1"/>
    <col min="13833" max="13833" width="9.33203125" style="156" customWidth="1"/>
    <col min="13834" max="13834" width="2.109375" style="156" customWidth="1"/>
    <col min="13835" max="13835" width="9.109375" style="156" bestFit="1" customWidth="1"/>
    <col min="13836" max="13836" width="2.109375" style="156" customWidth="1"/>
    <col min="13837" max="13837" width="9.44140625" style="156" customWidth="1"/>
    <col min="13838" max="13838" width="3.109375" style="156" customWidth="1"/>
    <col min="13839" max="13839" width="9.44140625" style="156" customWidth="1"/>
    <col min="13840" max="13840" width="2.88671875" style="156" customWidth="1"/>
    <col min="13841" max="13841" width="4.44140625" style="156" customWidth="1"/>
    <col min="13842" max="13842" width="2.88671875" style="156" customWidth="1"/>
    <col min="13843" max="13843" width="24" style="156" customWidth="1"/>
    <col min="13844" max="13844" width="18.88671875" style="156" customWidth="1"/>
    <col min="13845" max="14069" width="7.33203125" style="156"/>
    <col min="14070" max="14070" width="4.44140625" style="156" customWidth="1"/>
    <col min="14071" max="14071" width="2.88671875" style="156" customWidth="1"/>
    <col min="14072" max="14072" width="22.5546875" style="156" customWidth="1"/>
    <col min="14073" max="14073" width="4.44140625" style="156" customWidth="1"/>
    <col min="14074" max="14074" width="10.88671875" style="156" customWidth="1"/>
    <col min="14075" max="14075" width="4.44140625" style="156" customWidth="1"/>
    <col min="14076" max="14076" width="10.88671875" style="156" customWidth="1"/>
    <col min="14077" max="14077" width="4.44140625" style="156" customWidth="1"/>
    <col min="14078" max="14078" width="10.88671875" style="156" customWidth="1"/>
    <col min="14079" max="14079" width="3.5546875" style="156" customWidth="1"/>
    <col min="14080" max="14080" width="9.44140625" style="156" customWidth="1"/>
    <col min="14081" max="14081" width="2.88671875" style="156" customWidth="1"/>
    <col min="14082" max="14083" width="4.44140625" style="156" customWidth="1"/>
    <col min="14084" max="14084" width="2.88671875" style="156" customWidth="1"/>
    <col min="14085" max="14085" width="29.88671875" style="156" customWidth="1"/>
    <col min="14086" max="14086" width="4.44140625" style="156" customWidth="1"/>
    <col min="14087" max="14087" width="9.44140625" style="156" customWidth="1"/>
    <col min="14088" max="14088" width="2.109375" style="156" customWidth="1"/>
    <col min="14089" max="14089" width="9.33203125" style="156" customWidth="1"/>
    <col min="14090" max="14090" width="2.109375" style="156" customWidth="1"/>
    <col min="14091" max="14091" width="9.109375" style="156" bestFit="1" customWidth="1"/>
    <col min="14092" max="14092" width="2.109375" style="156" customWidth="1"/>
    <col min="14093" max="14093" width="9.44140625" style="156" customWidth="1"/>
    <col min="14094" max="14094" width="3.109375" style="156" customWidth="1"/>
    <col min="14095" max="14095" width="9.44140625" style="156" customWidth="1"/>
    <col min="14096" max="14096" width="2.88671875" style="156" customWidth="1"/>
    <col min="14097" max="14097" width="4.44140625" style="156" customWidth="1"/>
    <col min="14098" max="14098" width="2.88671875" style="156" customWidth="1"/>
    <col min="14099" max="14099" width="24" style="156" customWidth="1"/>
    <col min="14100" max="14100" width="18.88671875" style="156" customWidth="1"/>
    <col min="14101" max="14325" width="7.33203125" style="156"/>
    <col min="14326" max="14326" width="4.44140625" style="156" customWidth="1"/>
    <col min="14327" max="14327" width="2.88671875" style="156" customWidth="1"/>
    <col min="14328" max="14328" width="22.5546875" style="156" customWidth="1"/>
    <col min="14329" max="14329" width="4.44140625" style="156" customWidth="1"/>
    <col min="14330" max="14330" width="10.88671875" style="156" customWidth="1"/>
    <col min="14331" max="14331" width="4.44140625" style="156" customWidth="1"/>
    <col min="14332" max="14332" width="10.88671875" style="156" customWidth="1"/>
    <col min="14333" max="14333" width="4.44140625" style="156" customWidth="1"/>
    <col min="14334" max="14334" width="10.88671875" style="156" customWidth="1"/>
    <col min="14335" max="14335" width="3.5546875" style="156" customWidth="1"/>
    <col min="14336" max="14336" width="9.44140625" style="156" customWidth="1"/>
    <col min="14337" max="14337" width="2.88671875" style="156" customWidth="1"/>
    <col min="14338" max="14339" width="4.44140625" style="156" customWidth="1"/>
    <col min="14340" max="14340" width="2.88671875" style="156" customWidth="1"/>
    <col min="14341" max="14341" width="29.88671875" style="156" customWidth="1"/>
    <col min="14342" max="14342" width="4.44140625" style="156" customWidth="1"/>
    <col min="14343" max="14343" width="9.44140625" style="156" customWidth="1"/>
    <col min="14344" max="14344" width="2.109375" style="156" customWidth="1"/>
    <col min="14345" max="14345" width="9.33203125" style="156" customWidth="1"/>
    <col min="14346" max="14346" width="2.109375" style="156" customWidth="1"/>
    <col min="14347" max="14347" width="9.109375" style="156" bestFit="1" customWidth="1"/>
    <col min="14348" max="14348" width="2.109375" style="156" customWidth="1"/>
    <col min="14349" max="14349" width="9.44140625" style="156" customWidth="1"/>
    <col min="14350" max="14350" width="3.109375" style="156" customWidth="1"/>
    <col min="14351" max="14351" width="9.44140625" style="156" customWidth="1"/>
    <col min="14352" max="14352" width="2.88671875" style="156" customWidth="1"/>
    <col min="14353" max="14353" width="4.44140625" style="156" customWidth="1"/>
    <col min="14354" max="14354" width="2.88671875" style="156" customWidth="1"/>
    <col min="14355" max="14355" width="24" style="156" customWidth="1"/>
    <col min="14356" max="14356" width="18.88671875" style="156" customWidth="1"/>
    <col min="14357" max="14581" width="7.33203125" style="156"/>
    <col min="14582" max="14582" width="4.44140625" style="156" customWidth="1"/>
    <col min="14583" max="14583" width="2.88671875" style="156" customWidth="1"/>
    <col min="14584" max="14584" width="22.5546875" style="156" customWidth="1"/>
    <col min="14585" max="14585" width="4.44140625" style="156" customWidth="1"/>
    <col min="14586" max="14586" width="10.88671875" style="156" customWidth="1"/>
    <col min="14587" max="14587" width="4.44140625" style="156" customWidth="1"/>
    <col min="14588" max="14588" width="10.88671875" style="156" customWidth="1"/>
    <col min="14589" max="14589" width="4.44140625" style="156" customWidth="1"/>
    <col min="14590" max="14590" width="10.88671875" style="156" customWidth="1"/>
    <col min="14591" max="14591" width="3.5546875" style="156" customWidth="1"/>
    <col min="14592" max="14592" width="9.44140625" style="156" customWidth="1"/>
    <col min="14593" max="14593" width="2.88671875" style="156" customWidth="1"/>
    <col min="14594" max="14595" width="4.44140625" style="156" customWidth="1"/>
    <col min="14596" max="14596" width="2.88671875" style="156" customWidth="1"/>
    <col min="14597" max="14597" width="29.88671875" style="156" customWidth="1"/>
    <col min="14598" max="14598" width="4.44140625" style="156" customWidth="1"/>
    <col min="14599" max="14599" width="9.44140625" style="156" customWidth="1"/>
    <col min="14600" max="14600" width="2.109375" style="156" customWidth="1"/>
    <col min="14601" max="14601" width="9.33203125" style="156" customWidth="1"/>
    <col min="14602" max="14602" width="2.109375" style="156" customWidth="1"/>
    <col min="14603" max="14603" width="9.109375" style="156" bestFit="1" customWidth="1"/>
    <col min="14604" max="14604" width="2.109375" style="156" customWidth="1"/>
    <col min="14605" max="14605" width="9.44140625" style="156" customWidth="1"/>
    <col min="14606" max="14606" width="3.109375" style="156" customWidth="1"/>
    <col min="14607" max="14607" width="9.44140625" style="156" customWidth="1"/>
    <col min="14608" max="14608" width="2.88671875" style="156" customWidth="1"/>
    <col min="14609" max="14609" width="4.44140625" style="156" customWidth="1"/>
    <col min="14610" max="14610" width="2.88671875" style="156" customWidth="1"/>
    <col min="14611" max="14611" width="24" style="156" customWidth="1"/>
    <col min="14612" max="14612" width="18.88671875" style="156" customWidth="1"/>
    <col min="14613" max="14837" width="7.33203125" style="156"/>
    <col min="14838" max="14838" width="4.44140625" style="156" customWidth="1"/>
    <col min="14839" max="14839" width="2.88671875" style="156" customWidth="1"/>
    <col min="14840" max="14840" width="22.5546875" style="156" customWidth="1"/>
    <col min="14841" max="14841" width="4.44140625" style="156" customWidth="1"/>
    <col min="14842" max="14842" width="10.88671875" style="156" customWidth="1"/>
    <col min="14843" max="14843" width="4.44140625" style="156" customWidth="1"/>
    <col min="14844" max="14844" width="10.88671875" style="156" customWidth="1"/>
    <col min="14845" max="14845" width="4.44140625" style="156" customWidth="1"/>
    <col min="14846" max="14846" width="10.88671875" style="156" customWidth="1"/>
    <col min="14847" max="14847" width="3.5546875" style="156" customWidth="1"/>
    <col min="14848" max="14848" width="9.44140625" style="156" customWidth="1"/>
    <col min="14849" max="14849" width="2.88671875" style="156" customWidth="1"/>
    <col min="14850" max="14851" width="4.44140625" style="156" customWidth="1"/>
    <col min="14852" max="14852" width="2.88671875" style="156" customWidth="1"/>
    <col min="14853" max="14853" width="29.88671875" style="156" customWidth="1"/>
    <col min="14854" max="14854" width="4.44140625" style="156" customWidth="1"/>
    <col min="14855" max="14855" width="9.44140625" style="156" customWidth="1"/>
    <col min="14856" max="14856" width="2.109375" style="156" customWidth="1"/>
    <col min="14857" max="14857" width="9.33203125" style="156" customWidth="1"/>
    <col min="14858" max="14858" width="2.109375" style="156" customWidth="1"/>
    <col min="14859" max="14859" width="9.109375" style="156" bestFit="1" customWidth="1"/>
    <col min="14860" max="14860" width="2.109375" style="156" customWidth="1"/>
    <col min="14861" max="14861" width="9.44140625" style="156" customWidth="1"/>
    <col min="14862" max="14862" width="3.109375" style="156" customWidth="1"/>
    <col min="14863" max="14863" width="9.44140625" style="156" customWidth="1"/>
    <col min="14864" max="14864" width="2.88671875" style="156" customWidth="1"/>
    <col min="14865" max="14865" width="4.44140625" style="156" customWidth="1"/>
    <col min="14866" max="14866" width="2.88671875" style="156" customWidth="1"/>
    <col min="14867" max="14867" width="24" style="156" customWidth="1"/>
    <col min="14868" max="14868" width="18.88671875" style="156" customWidth="1"/>
    <col min="14869" max="15093" width="7.33203125" style="156"/>
    <col min="15094" max="15094" width="4.44140625" style="156" customWidth="1"/>
    <col min="15095" max="15095" width="2.88671875" style="156" customWidth="1"/>
    <col min="15096" max="15096" width="22.5546875" style="156" customWidth="1"/>
    <col min="15097" max="15097" width="4.44140625" style="156" customWidth="1"/>
    <col min="15098" max="15098" width="10.88671875" style="156" customWidth="1"/>
    <col min="15099" max="15099" width="4.44140625" style="156" customWidth="1"/>
    <col min="15100" max="15100" width="10.88671875" style="156" customWidth="1"/>
    <col min="15101" max="15101" width="4.44140625" style="156" customWidth="1"/>
    <col min="15102" max="15102" width="10.88671875" style="156" customWidth="1"/>
    <col min="15103" max="15103" width="3.5546875" style="156" customWidth="1"/>
    <col min="15104" max="15104" width="9.44140625" style="156" customWidth="1"/>
    <col min="15105" max="15105" width="2.88671875" style="156" customWidth="1"/>
    <col min="15106" max="15107" width="4.44140625" style="156" customWidth="1"/>
    <col min="15108" max="15108" width="2.88671875" style="156" customWidth="1"/>
    <col min="15109" max="15109" width="29.88671875" style="156" customWidth="1"/>
    <col min="15110" max="15110" width="4.44140625" style="156" customWidth="1"/>
    <col min="15111" max="15111" width="9.44140625" style="156" customWidth="1"/>
    <col min="15112" max="15112" width="2.109375" style="156" customWidth="1"/>
    <col min="15113" max="15113" width="9.33203125" style="156" customWidth="1"/>
    <col min="15114" max="15114" width="2.109375" style="156" customWidth="1"/>
    <col min="15115" max="15115" width="9.109375" style="156" bestFit="1" customWidth="1"/>
    <col min="15116" max="15116" width="2.109375" style="156" customWidth="1"/>
    <col min="15117" max="15117" width="9.44140625" style="156" customWidth="1"/>
    <col min="15118" max="15118" width="3.109375" style="156" customWidth="1"/>
    <col min="15119" max="15119" width="9.44140625" style="156" customWidth="1"/>
    <col min="15120" max="15120" width="2.88671875" style="156" customWidth="1"/>
    <col min="15121" max="15121" width="4.44140625" style="156" customWidth="1"/>
    <col min="15122" max="15122" width="2.88671875" style="156" customWidth="1"/>
    <col min="15123" max="15123" width="24" style="156" customWidth="1"/>
    <col min="15124" max="15124" width="18.88671875" style="156" customWidth="1"/>
    <col min="15125" max="15349" width="7.33203125" style="156"/>
    <col min="15350" max="15350" width="4.44140625" style="156" customWidth="1"/>
    <col min="15351" max="15351" width="2.88671875" style="156" customWidth="1"/>
    <col min="15352" max="15352" width="22.5546875" style="156" customWidth="1"/>
    <col min="15353" max="15353" width="4.44140625" style="156" customWidth="1"/>
    <col min="15354" max="15354" width="10.88671875" style="156" customWidth="1"/>
    <col min="15355" max="15355" width="4.44140625" style="156" customWidth="1"/>
    <col min="15356" max="15356" width="10.88671875" style="156" customWidth="1"/>
    <col min="15357" max="15357" width="4.44140625" style="156" customWidth="1"/>
    <col min="15358" max="15358" width="10.88671875" style="156" customWidth="1"/>
    <col min="15359" max="15359" width="3.5546875" style="156" customWidth="1"/>
    <col min="15360" max="15360" width="9.44140625" style="156" customWidth="1"/>
    <col min="15361" max="15361" width="2.88671875" style="156" customWidth="1"/>
    <col min="15362" max="15363" width="4.44140625" style="156" customWidth="1"/>
    <col min="15364" max="15364" width="2.88671875" style="156" customWidth="1"/>
    <col min="15365" max="15365" width="29.88671875" style="156" customWidth="1"/>
    <col min="15366" max="15366" width="4.44140625" style="156" customWidth="1"/>
    <col min="15367" max="15367" width="9.44140625" style="156" customWidth="1"/>
    <col min="15368" max="15368" width="2.109375" style="156" customWidth="1"/>
    <col min="15369" max="15369" width="9.33203125" style="156" customWidth="1"/>
    <col min="15370" max="15370" width="2.109375" style="156" customWidth="1"/>
    <col min="15371" max="15371" width="9.109375" style="156" bestFit="1" customWidth="1"/>
    <col min="15372" max="15372" width="2.109375" style="156" customWidth="1"/>
    <col min="15373" max="15373" width="9.44140625" style="156" customWidth="1"/>
    <col min="15374" max="15374" width="3.109375" style="156" customWidth="1"/>
    <col min="15375" max="15375" width="9.44140625" style="156" customWidth="1"/>
    <col min="15376" max="15376" width="2.88671875" style="156" customWidth="1"/>
    <col min="15377" max="15377" width="4.44140625" style="156" customWidth="1"/>
    <col min="15378" max="15378" width="2.88671875" style="156" customWidth="1"/>
    <col min="15379" max="15379" width="24" style="156" customWidth="1"/>
    <col min="15380" max="15380" width="18.88671875" style="156" customWidth="1"/>
    <col min="15381" max="15605" width="7.33203125" style="156"/>
    <col min="15606" max="15606" width="4.44140625" style="156" customWidth="1"/>
    <col min="15607" max="15607" width="2.88671875" style="156" customWidth="1"/>
    <col min="15608" max="15608" width="22.5546875" style="156" customWidth="1"/>
    <col min="15609" max="15609" width="4.44140625" style="156" customWidth="1"/>
    <col min="15610" max="15610" width="10.88671875" style="156" customWidth="1"/>
    <col min="15611" max="15611" width="4.44140625" style="156" customWidth="1"/>
    <col min="15612" max="15612" width="10.88671875" style="156" customWidth="1"/>
    <col min="15613" max="15613" width="4.44140625" style="156" customWidth="1"/>
    <col min="15614" max="15614" width="10.88671875" style="156" customWidth="1"/>
    <col min="15615" max="15615" width="3.5546875" style="156" customWidth="1"/>
    <col min="15616" max="15616" width="9.44140625" style="156" customWidth="1"/>
    <col min="15617" max="15617" width="2.88671875" style="156" customWidth="1"/>
    <col min="15618" max="15619" width="4.44140625" style="156" customWidth="1"/>
    <col min="15620" max="15620" width="2.88671875" style="156" customWidth="1"/>
    <col min="15621" max="15621" width="29.88671875" style="156" customWidth="1"/>
    <col min="15622" max="15622" width="4.44140625" style="156" customWidth="1"/>
    <col min="15623" max="15623" width="9.44140625" style="156" customWidth="1"/>
    <col min="15624" max="15624" width="2.109375" style="156" customWidth="1"/>
    <col min="15625" max="15625" width="9.33203125" style="156" customWidth="1"/>
    <col min="15626" max="15626" width="2.109375" style="156" customWidth="1"/>
    <col min="15627" max="15627" width="9.109375" style="156" bestFit="1" customWidth="1"/>
    <col min="15628" max="15628" width="2.109375" style="156" customWidth="1"/>
    <col min="15629" max="15629" width="9.44140625" style="156" customWidth="1"/>
    <col min="15630" max="15630" width="3.109375" style="156" customWidth="1"/>
    <col min="15631" max="15631" width="9.44140625" style="156" customWidth="1"/>
    <col min="15632" max="15632" width="2.88671875" style="156" customWidth="1"/>
    <col min="15633" max="15633" width="4.44140625" style="156" customWidth="1"/>
    <col min="15634" max="15634" width="2.88671875" style="156" customWidth="1"/>
    <col min="15635" max="15635" width="24" style="156" customWidth="1"/>
    <col min="15636" max="15636" width="18.88671875" style="156" customWidth="1"/>
    <col min="15637" max="15861" width="7.33203125" style="156"/>
    <col min="15862" max="15862" width="4.44140625" style="156" customWidth="1"/>
    <col min="15863" max="15863" width="2.88671875" style="156" customWidth="1"/>
    <col min="15864" max="15864" width="22.5546875" style="156" customWidth="1"/>
    <col min="15865" max="15865" width="4.44140625" style="156" customWidth="1"/>
    <col min="15866" max="15866" width="10.88671875" style="156" customWidth="1"/>
    <col min="15867" max="15867" width="4.44140625" style="156" customWidth="1"/>
    <col min="15868" max="15868" width="10.88671875" style="156" customWidth="1"/>
    <col min="15869" max="15869" width="4.44140625" style="156" customWidth="1"/>
    <col min="15870" max="15870" width="10.88671875" style="156" customWidth="1"/>
    <col min="15871" max="15871" width="3.5546875" style="156" customWidth="1"/>
    <col min="15872" max="15872" width="9.44140625" style="156" customWidth="1"/>
    <col min="15873" max="15873" width="2.88671875" style="156" customWidth="1"/>
    <col min="15874" max="15875" width="4.44140625" style="156" customWidth="1"/>
    <col min="15876" max="15876" width="2.88671875" style="156" customWidth="1"/>
    <col min="15877" max="15877" width="29.88671875" style="156" customWidth="1"/>
    <col min="15878" max="15878" width="4.44140625" style="156" customWidth="1"/>
    <col min="15879" max="15879" width="9.44140625" style="156" customWidth="1"/>
    <col min="15880" max="15880" width="2.109375" style="156" customWidth="1"/>
    <col min="15881" max="15881" width="9.33203125" style="156" customWidth="1"/>
    <col min="15882" max="15882" width="2.109375" style="156" customWidth="1"/>
    <col min="15883" max="15883" width="9.109375" style="156" bestFit="1" customWidth="1"/>
    <col min="15884" max="15884" width="2.109375" style="156" customWidth="1"/>
    <col min="15885" max="15885" width="9.44140625" style="156" customWidth="1"/>
    <col min="15886" max="15886" width="3.109375" style="156" customWidth="1"/>
    <col min="15887" max="15887" width="9.44140625" style="156" customWidth="1"/>
    <col min="15888" max="15888" width="2.88671875" style="156" customWidth="1"/>
    <col min="15889" max="15889" width="4.44140625" style="156" customWidth="1"/>
    <col min="15890" max="15890" width="2.88671875" style="156" customWidth="1"/>
    <col min="15891" max="15891" width="24" style="156" customWidth="1"/>
    <col min="15892" max="15892" width="18.88671875" style="156" customWidth="1"/>
    <col min="15893" max="16117" width="7.33203125" style="156"/>
    <col min="16118" max="16118" width="4.44140625" style="156" customWidth="1"/>
    <col min="16119" max="16119" width="2.88671875" style="156" customWidth="1"/>
    <col min="16120" max="16120" width="22.5546875" style="156" customWidth="1"/>
    <col min="16121" max="16121" width="4.44140625" style="156" customWidth="1"/>
    <col min="16122" max="16122" width="10.88671875" style="156" customWidth="1"/>
    <col min="16123" max="16123" width="4.44140625" style="156" customWidth="1"/>
    <col min="16124" max="16124" width="10.88671875" style="156" customWidth="1"/>
    <col min="16125" max="16125" width="4.44140625" style="156" customWidth="1"/>
    <col min="16126" max="16126" width="10.88671875" style="156" customWidth="1"/>
    <col min="16127" max="16127" width="3.5546875" style="156" customWidth="1"/>
    <col min="16128" max="16128" width="9.44140625" style="156" customWidth="1"/>
    <col min="16129" max="16129" width="2.88671875" style="156" customWidth="1"/>
    <col min="16130" max="16131" width="4.44140625" style="156" customWidth="1"/>
    <col min="16132" max="16132" width="2.88671875" style="156" customWidth="1"/>
    <col min="16133" max="16133" width="29.88671875" style="156" customWidth="1"/>
    <col min="16134" max="16134" width="4.44140625" style="156" customWidth="1"/>
    <col min="16135" max="16135" width="9.44140625" style="156" customWidth="1"/>
    <col min="16136" max="16136" width="2.109375" style="156" customWidth="1"/>
    <col min="16137" max="16137" width="9.33203125" style="156" customWidth="1"/>
    <col min="16138" max="16138" width="2.109375" style="156" customWidth="1"/>
    <col min="16139" max="16139" width="9.109375" style="156" bestFit="1" customWidth="1"/>
    <col min="16140" max="16140" width="2.109375" style="156" customWidth="1"/>
    <col min="16141" max="16141" width="9.44140625" style="156" customWidth="1"/>
    <col min="16142" max="16142" width="3.109375" style="156" customWidth="1"/>
    <col min="16143" max="16143" width="9.44140625" style="156" customWidth="1"/>
    <col min="16144" max="16144" width="2.88671875" style="156" customWidth="1"/>
    <col min="16145" max="16145" width="4.44140625" style="156" customWidth="1"/>
    <col min="16146" max="16146" width="2.88671875" style="156" customWidth="1"/>
    <col min="16147" max="16147" width="24" style="156" customWidth="1"/>
    <col min="16148" max="16148" width="18.88671875" style="156" customWidth="1"/>
    <col min="16149" max="16384" width="7.33203125" style="156"/>
  </cols>
  <sheetData>
    <row r="1" spans="1:24">
      <c r="A1" s="615"/>
      <c r="K1" s="496" t="s">
        <v>1051</v>
      </c>
      <c r="X1" s="496" t="s">
        <v>1051</v>
      </c>
    </row>
    <row r="2" spans="1:24">
      <c r="K2" s="485" t="s">
        <v>996</v>
      </c>
      <c r="X2" s="496" t="s">
        <v>1011</v>
      </c>
    </row>
    <row r="3" spans="1:24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  <c r="L3" s="1166" t="s">
        <v>4</v>
      </c>
      <c r="M3" s="1166"/>
      <c r="N3" s="1166"/>
      <c r="O3" s="1166"/>
      <c r="P3" s="1166"/>
      <c r="Q3" s="1166"/>
      <c r="R3" s="1166"/>
      <c r="S3" s="1166"/>
      <c r="T3" s="1166"/>
      <c r="U3" s="1166"/>
      <c r="V3" s="1166"/>
      <c r="W3" s="1166"/>
      <c r="X3" s="1166"/>
    </row>
    <row r="4" spans="1:24">
      <c r="A4" s="1166" t="s">
        <v>1052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  <c r="L4" s="1183" t="s">
        <v>1053</v>
      </c>
      <c r="M4" s="1183"/>
      <c r="N4" s="1183"/>
      <c r="O4" s="1183"/>
      <c r="P4" s="1183"/>
      <c r="Q4" s="1183"/>
      <c r="R4" s="1183"/>
      <c r="S4" s="1183"/>
      <c r="T4" s="1183"/>
      <c r="U4" s="1183"/>
      <c r="V4" s="1183"/>
      <c r="W4" s="1183"/>
      <c r="X4" s="1183"/>
    </row>
    <row r="5" spans="1:24">
      <c r="A5" s="1166" t="str">
        <f>'A1'!A5:J5</f>
        <v>Test Year Ended June 30, 2024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83" t="s">
        <v>1427</v>
      </c>
      <c r="M5" s="1183"/>
      <c r="N5" s="1183"/>
      <c r="O5" s="1183"/>
      <c r="P5" s="1183"/>
      <c r="Q5" s="1183"/>
      <c r="R5" s="1183"/>
      <c r="S5" s="1183"/>
      <c r="T5" s="1183"/>
      <c r="U5" s="1183"/>
      <c r="V5" s="1183"/>
      <c r="W5" s="1183"/>
      <c r="X5" s="1183"/>
    </row>
    <row r="6" spans="1:24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  <c r="L6" s="1166" t="s">
        <v>799</v>
      </c>
      <c r="M6" s="1166"/>
      <c r="N6" s="1166"/>
      <c r="O6" s="1166"/>
      <c r="P6" s="1166"/>
      <c r="Q6" s="1166"/>
      <c r="R6" s="1166"/>
      <c r="S6" s="1166"/>
      <c r="T6" s="1166"/>
      <c r="U6" s="1166"/>
      <c r="V6" s="1166"/>
      <c r="W6" s="1166"/>
      <c r="X6" s="1166"/>
    </row>
    <row r="8" spans="1:24">
      <c r="E8" s="1188" t="s">
        <v>970</v>
      </c>
      <c r="F8" s="1188"/>
      <c r="G8" s="1188"/>
      <c r="H8" s="1188"/>
      <c r="I8" s="1188"/>
      <c r="Q8" s="486"/>
      <c r="R8" s="1184" t="s">
        <v>166</v>
      </c>
      <c r="S8" s="1184"/>
      <c r="T8" s="1184"/>
      <c r="U8" s="486"/>
      <c r="V8" s="486"/>
    </row>
    <row r="9" spans="1:24" s="159" customFormat="1" ht="30.6">
      <c r="A9" s="158" t="s">
        <v>1054</v>
      </c>
      <c r="C9" s="1128" t="s">
        <v>0</v>
      </c>
      <c r="E9" s="158" t="s">
        <v>801</v>
      </c>
      <c r="G9" s="158" t="s">
        <v>1055</v>
      </c>
      <c r="I9" s="158" t="s">
        <v>16</v>
      </c>
      <c r="K9" s="158" t="s">
        <v>1054</v>
      </c>
      <c r="L9" s="158" t="s">
        <v>1054</v>
      </c>
      <c r="N9" s="1128" t="s">
        <v>0</v>
      </c>
      <c r="P9" s="685" t="s">
        <v>1056</v>
      </c>
      <c r="R9" s="158" t="s">
        <v>1057</v>
      </c>
      <c r="T9" s="158" t="s">
        <v>23</v>
      </c>
      <c r="V9" s="158" t="s">
        <v>1058</v>
      </c>
      <c r="X9" s="158" t="s">
        <v>1054</v>
      </c>
    </row>
    <row r="10" spans="1:24">
      <c r="A10" s="160"/>
      <c r="E10" s="160"/>
      <c r="F10" s="160"/>
      <c r="I10" s="160"/>
      <c r="K10" s="160"/>
      <c r="L10" s="160"/>
      <c r="M10" s="160"/>
      <c r="P10" s="160"/>
      <c r="R10" s="160"/>
      <c r="T10" s="489"/>
      <c r="V10" s="489"/>
      <c r="X10" s="160"/>
    </row>
    <row r="11" spans="1:24">
      <c r="A11" s="160">
        <v>1</v>
      </c>
      <c r="C11" s="156" t="s">
        <v>1059</v>
      </c>
      <c r="E11" s="490">
        <f>V11</f>
        <v>-5304.5620382017523</v>
      </c>
      <c r="F11" s="490"/>
      <c r="G11" s="686">
        <f>V11</f>
        <v>-5304.5620382017523</v>
      </c>
      <c r="H11" s="490"/>
      <c r="I11" s="686">
        <f>+E11</f>
        <v>-5304.5620382017523</v>
      </c>
      <c r="K11" s="160">
        <f>+A11</f>
        <v>1</v>
      </c>
      <c r="L11" s="160">
        <v>1</v>
      </c>
      <c r="M11" s="160"/>
      <c r="N11" s="687" t="s">
        <v>1060</v>
      </c>
      <c r="P11" s="490">
        <f>'Rate Base'!F119/1000</f>
        <v>0</v>
      </c>
      <c r="Q11" s="491"/>
      <c r="R11" s="490" t="s">
        <v>22</v>
      </c>
      <c r="S11" s="501"/>
      <c r="T11" s="490">
        <f>'Rate Base'!G119/1000</f>
        <v>-5304.5620382017523</v>
      </c>
      <c r="U11" s="501"/>
      <c r="V11" s="501">
        <f>SUM(P11:U11)</f>
        <v>-5304.5620382017523</v>
      </c>
      <c r="X11" s="160">
        <f>+L11</f>
        <v>1</v>
      </c>
    </row>
    <row r="12" spans="1:24">
      <c r="A12" s="160"/>
      <c r="E12" s="505"/>
      <c r="F12" s="505"/>
      <c r="G12" s="505"/>
      <c r="H12" s="505"/>
      <c r="I12" s="505"/>
      <c r="K12" s="160"/>
      <c r="L12" s="160"/>
      <c r="M12" s="160"/>
      <c r="T12" s="485"/>
      <c r="V12" s="689"/>
      <c r="X12" s="160"/>
    </row>
    <row r="13" spans="1:24">
      <c r="A13" s="160">
        <f>+A11+1</f>
        <v>2</v>
      </c>
      <c r="C13" s="156" t="s">
        <v>1061</v>
      </c>
      <c r="E13" s="688">
        <f>+V13</f>
        <v>2592.7827800000005</v>
      </c>
      <c r="F13" s="505"/>
      <c r="G13" s="688">
        <f>V13</f>
        <v>2592.7827800000005</v>
      </c>
      <c r="H13" s="505"/>
      <c r="I13" s="688">
        <f>+E13</f>
        <v>2592.7827800000005</v>
      </c>
      <c r="K13" s="160">
        <f>+A13</f>
        <v>2</v>
      </c>
      <c r="L13" s="160">
        <f>+L11+1</f>
        <v>2</v>
      </c>
      <c r="M13" s="160"/>
      <c r="N13" s="156" t="s">
        <v>1062</v>
      </c>
      <c r="P13" s="505">
        <f>'Rate Base'!F120/1000</f>
        <v>2757.5907800000004</v>
      </c>
      <c r="Q13" s="635"/>
      <c r="R13" s="505">
        <f>'Rate Base'!G120/1000</f>
        <v>-164.80799999999999</v>
      </c>
      <c r="S13" s="635"/>
      <c r="T13" s="490" t="s">
        <v>22</v>
      </c>
      <c r="U13" s="635"/>
      <c r="V13" s="688">
        <f>SUM(P13:U13)</f>
        <v>2592.7827800000005</v>
      </c>
      <c r="X13" s="160">
        <f>+L13</f>
        <v>2</v>
      </c>
    </row>
    <row r="14" spans="1:24">
      <c r="A14" s="160"/>
      <c r="E14" s="505"/>
      <c r="F14" s="505"/>
      <c r="G14" s="505"/>
      <c r="H14" s="505"/>
      <c r="I14" s="505"/>
      <c r="K14" s="160"/>
      <c r="L14" s="160"/>
      <c r="M14" s="160"/>
      <c r="P14" s="635"/>
      <c r="Q14" s="635"/>
      <c r="R14" s="635"/>
      <c r="S14" s="635"/>
      <c r="T14" s="691"/>
      <c r="U14" s="635"/>
      <c r="V14" s="690"/>
      <c r="X14" s="160"/>
    </row>
    <row r="15" spans="1:24">
      <c r="A15" s="160">
        <f>+A13+1</f>
        <v>3</v>
      </c>
      <c r="C15" s="156" t="s">
        <v>1063</v>
      </c>
      <c r="E15" s="692">
        <f>+V15</f>
        <v>485.02413000000001</v>
      </c>
      <c r="F15" s="505"/>
      <c r="G15" s="692">
        <f>V15</f>
        <v>485.02413000000001</v>
      </c>
      <c r="H15" s="505"/>
      <c r="I15" s="692">
        <f>+E15</f>
        <v>485.02413000000001</v>
      </c>
      <c r="K15" s="160">
        <f>+A15</f>
        <v>3</v>
      </c>
      <c r="L15" s="160">
        <f>+L13+1</f>
        <v>3</v>
      </c>
      <c r="M15" s="160"/>
      <c r="N15" s="156" t="s">
        <v>1064</v>
      </c>
      <c r="P15" s="621">
        <f>'Rate Base'!F121/1000</f>
        <v>188.41313</v>
      </c>
      <c r="Q15" s="635"/>
      <c r="R15" s="621">
        <f>'Rate Base'!G121/1000</f>
        <v>296.61099999999999</v>
      </c>
      <c r="S15" s="635"/>
      <c r="T15" s="514" t="s">
        <v>22</v>
      </c>
      <c r="U15" s="635"/>
      <c r="V15" s="692">
        <f>SUM(P15:U15)</f>
        <v>485.02413000000001</v>
      </c>
      <c r="X15" s="160">
        <f>+L15</f>
        <v>3</v>
      </c>
    </row>
    <row r="16" spans="1:24">
      <c r="A16" s="160"/>
      <c r="E16" s="688"/>
      <c r="F16" s="505"/>
      <c r="G16" s="688"/>
      <c r="H16" s="505"/>
      <c r="I16" s="688"/>
      <c r="K16" s="160"/>
      <c r="L16" s="160"/>
      <c r="M16" s="160"/>
      <c r="P16" s="505"/>
      <c r="Q16" s="635"/>
      <c r="R16" s="633"/>
      <c r="S16" s="635"/>
      <c r="T16" s="633"/>
      <c r="U16" s="635"/>
      <c r="V16" s="688"/>
    </row>
    <row r="17" spans="1:24" ht="10.8" thickBot="1">
      <c r="A17" s="160">
        <f>+A15+1</f>
        <v>4</v>
      </c>
      <c r="C17" s="160" t="s">
        <v>1065</v>
      </c>
      <c r="E17" s="498">
        <f>SUM(E11:E16)</f>
        <v>-2226.7551282017521</v>
      </c>
      <c r="F17" s="490"/>
      <c r="G17" s="498">
        <f>SUM(G11:G16)</f>
        <v>-2226.7551282017521</v>
      </c>
      <c r="H17" s="490"/>
      <c r="I17" s="498">
        <f>SUM(I11:I16)</f>
        <v>-2226.7551282017521</v>
      </c>
      <c r="K17" s="160">
        <f>+A17</f>
        <v>4</v>
      </c>
      <c r="L17" s="160">
        <f>+L15+1</f>
        <v>4</v>
      </c>
      <c r="M17" s="160"/>
      <c r="N17" s="160" t="s">
        <v>1066</v>
      </c>
      <c r="P17" s="693">
        <f>SUM(P11:P16)</f>
        <v>2946.0039100000004</v>
      </c>
      <c r="Q17" s="500"/>
      <c r="R17" s="693">
        <f>SUM(R11:R16)</f>
        <v>131.803</v>
      </c>
      <c r="S17" s="500"/>
      <c r="T17" s="693">
        <f>SUM(T11:T16)</f>
        <v>-5304.5620382017523</v>
      </c>
      <c r="U17" s="500"/>
      <c r="V17" s="693">
        <f>SUM(V11:V16)</f>
        <v>-2226.7551282017521</v>
      </c>
      <c r="X17" s="160">
        <f>+L17</f>
        <v>4</v>
      </c>
    </row>
    <row r="18" spans="1:24" ht="10.8" thickTop="1">
      <c r="A18" s="160"/>
      <c r="C18" s="160"/>
      <c r="E18" s="490"/>
      <c r="F18" s="490"/>
      <c r="G18" s="490"/>
      <c r="H18" s="490"/>
      <c r="I18" s="490"/>
      <c r="K18" s="160"/>
      <c r="L18" s="160"/>
      <c r="M18" s="160"/>
      <c r="N18" s="160"/>
      <c r="P18" s="501"/>
      <c r="Q18" s="500"/>
      <c r="R18" s="501"/>
      <c r="S18" s="500"/>
      <c r="T18" s="501"/>
      <c r="U18" s="500"/>
      <c r="V18" s="501"/>
      <c r="X18" s="160"/>
    </row>
    <row r="19" spans="1:24">
      <c r="A19" s="160"/>
      <c r="E19" s="491"/>
      <c r="F19" s="491"/>
      <c r="G19" s="160"/>
      <c r="H19" s="160"/>
      <c r="I19" s="491"/>
      <c r="K19" s="160"/>
    </row>
    <row r="20" spans="1:24">
      <c r="A20" s="160"/>
      <c r="C20" s="512" t="s">
        <v>826</v>
      </c>
      <c r="E20" s="694" t="s">
        <v>990</v>
      </c>
      <c r="F20" s="694"/>
      <c r="G20" s="157"/>
      <c r="I20" s="501"/>
      <c r="K20" s="160"/>
      <c r="N20" s="695" t="s">
        <v>826</v>
      </c>
      <c r="P20" s="694" t="s">
        <v>990</v>
      </c>
      <c r="Q20" s="694"/>
      <c r="R20" s="694"/>
    </row>
    <row r="21" spans="1:24">
      <c r="A21" s="160"/>
      <c r="C21" s="160" t="s">
        <v>1067</v>
      </c>
      <c r="E21" s="160" t="s">
        <v>1068</v>
      </c>
      <c r="F21" s="486"/>
      <c r="G21" s="486"/>
      <c r="K21" s="160"/>
      <c r="N21" s="160" t="s">
        <v>1069</v>
      </c>
      <c r="P21" s="486" t="s">
        <v>1070</v>
      </c>
      <c r="Q21" s="486"/>
      <c r="R21" s="486"/>
    </row>
    <row r="30" spans="1:24">
      <c r="C30" s="513" t="s">
        <v>1071</v>
      </c>
      <c r="N30" s="513" t="s">
        <v>1072</v>
      </c>
    </row>
    <row r="32" spans="1:24">
      <c r="C32" s="513" t="s">
        <v>835</v>
      </c>
      <c r="G32" s="513"/>
      <c r="N32" s="513" t="s">
        <v>835</v>
      </c>
      <c r="O32" s="513"/>
    </row>
    <row r="33" spans="3:15">
      <c r="C33" s="487" t="s">
        <v>993</v>
      </c>
      <c r="D33" s="487"/>
      <c r="G33" s="487"/>
      <c r="N33" s="487" t="s">
        <v>1073</v>
      </c>
      <c r="O33" s="487" t="s">
        <v>1026</v>
      </c>
    </row>
    <row r="34" spans="3:15">
      <c r="N34" s="487" t="s">
        <v>1074</v>
      </c>
      <c r="O34" s="487" t="s">
        <v>1026</v>
      </c>
    </row>
    <row r="35" spans="3:15">
      <c r="C35" s="513" t="s">
        <v>1008</v>
      </c>
      <c r="N35" s="487" t="s">
        <v>1075</v>
      </c>
      <c r="O35" s="487" t="s">
        <v>1026</v>
      </c>
    </row>
    <row r="36" spans="3:15">
      <c r="C36" s="487" t="s">
        <v>1076</v>
      </c>
      <c r="D36" s="487"/>
      <c r="E36" s="487"/>
      <c r="G36" s="487" t="s">
        <v>1077</v>
      </c>
      <c r="N36" s="487" t="s">
        <v>1078</v>
      </c>
      <c r="O36" s="487" t="s">
        <v>1026</v>
      </c>
    </row>
    <row r="37" spans="3:15">
      <c r="C37" s="487" t="s">
        <v>1079</v>
      </c>
      <c r="D37" s="487"/>
      <c r="G37" s="487" t="s">
        <v>1077</v>
      </c>
      <c r="N37" s="487" t="s">
        <v>1080</v>
      </c>
      <c r="O37" s="487" t="s">
        <v>1026</v>
      </c>
    </row>
    <row r="38" spans="3:15">
      <c r="C38" s="487" t="s">
        <v>1081</v>
      </c>
      <c r="D38" s="487"/>
      <c r="G38" s="487" t="s">
        <v>1077</v>
      </c>
      <c r="N38" s="487" t="s">
        <v>1082</v>
      </c>
      <c r="O38" s="487" t="s">
        <v>1026</v>
      </c>
    </row>
    <row r="39" spans="3:15">
      <c r="C39" s="487" t="s">
        <v>1083</v>
      </c>
      <c r="D39" s="487"/>
      <c r="G39" s="487" t="s">
        <v>1077</v>
      </c>
      <c r="N39" s="487" t="s">
        <v>1084</v>
      </c>
      <c r="O39" s="487" t="s">
        <v>1026</v>
      </c>
    </row>
    <row r="41" spans="3:15">
      <c r="N41" s="513" t="s">
        <v>1008</v>
      </c>
    </row>
    <row r="42" spans="3:15">
      <c r="N42" s="487" t="s">
        <v>23</v>
      </c>
      <c r="O42" s="487" t="s">
        <v>1085</v>
      </c>
    </row>
  </sheetData>
  <mergeCells count="10">
    <mergeCell ref="A6:K6"/>
    <mergeCell ref="L6:X6"/>
    <mergeCell ref="E8:I8"/>
    <mergeCell ref="R8:T8"/>
    <mergeCell ref="A3:K3"/>
    <mergeCell ref="L3:X3"/>
    <mergeCell ref="A4:K4"/>
    <mergeCell ref="L4:X4"/>
    <mergeCell ref="A5:K5"/>
    <mergeCell ref="L5:X5"/>
  </mergeCells>
  <printOptions horizontalCentered="1"/>
  <pageMargins left="0.7" right="0.7" top="0.75" bottom="0.75" header="0.3" footer="0.3"/>
  <pageSetup fitToWidth="0" orientation="landscape" r:id="rId1"/>
  <colBreaks count="1" manualBreakCount="1">
    <brk id="11" max="23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52FB6-E189-4737-854A-AB5E268717E2}">
  <sheetPr>
    <tabColor rgb="FFFFFFCC"/>
  </sheetPr>
  <dimension ref="A1:N47"/>
  <sheetViews>
    <sheetView showGridLines="0" zoomScaleNormal="100" zoomScaleSheetLayoutView="100" workbookViewId="0">
      <selection activeCell="C50" sqref="C50"/>
    </sheetView>
  </sheetViews>
  <sheetFormatPr defaultColWidth="9.109375" defaultRowHeight="10.199999999999999"/>
  <cols>
    <col min="1" max="1" width="3.88671875" style="511" customWidth="1"/>
    <col min="2" max="2" width="2.88671875" style="511" customWidth="1"/>
    <col min="3" max="3" width="28" style="511" customWidth="1"/>
    <col min="4" max="4" width="2.88671875" style="511" customWidth="1"/>
    <col min="5" max="5" width="12" style="511" customWidth="1"/>
    <col min="6" max="6" width="2.88671875" style="511" customWidth="1"/>
    <col min="7" max="7" width="8.88671875" style="511" bestFit="1" customWidth="1"/>
    <col min="8" max="8" width="2.88671875" style="511" customWidth="1"/>
    <col min="9" max="9" width="7.33203125" style="511" customWidth="1"/>
    <col min="10" max="10" width="10.5546875" style="511" customWidth="1"/>
    <col min="11" max="11" width="10.33203125" style="511" customWidth="1"/>
    <col min="12" max="12" width="14.5546875" style="511" customWidth="1"/>
    <col min="13" max="13" width="11.5546875" style="511" customWidth="1"/>
    <col min="14" max="14" width="10.5546875" style="511" bestFit="1" customWidth="1"/>
    <col min="15" max="16384" width="9.109375" style="511"/>
  </cols>
  <sheetData>
    <row r="1" spans="1:13">
      <c r="M1" s="496" t="s">
        <v>1051</v>
      </c>
    </row>
    <row r="2" spans="1:13">
      <c r="M2" s="485" t="s">
        <v>1016</v>
      </c>
    </row>
    <row r="3" spans="1:13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  <c r="L3" s="1166"/>
      <c r="M3" s="1166"/>
    </row>
    <row r="4" spans="1:13">
      <c r="A4" s="1166" t="s">
        <v>1086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  <c r="L4" s="1166"/>
      <c r="M4" s="1166"/>
    </row>
    <row r="5" spans="1:13">
      <c r="A5" s="1166" t="s">
        <v>1427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</row>
    <row r="6" spans="1:13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</row>
    <row r="7" spans="1:13">
      <c r="C7" s="156"/>
      <c r="D7" s="156"/>
      <c r="E7" s="626"/>
      <c r="F7" s="626"/>
      <c r="G7" s="697"/>
      <c r="H7" s="697"/>
      <c r="I7" s="697"/>
      <c r="J7" s="160" t="s">
        <v>1087</v>
      </c>
      <c r="K7" s="698"/>
      <c r="L7" s="699" t="s">
        <v>1088</v>
      </c>
    </row>
    <row r="8" spans="1:13">
      <c r="C8" s="156"/>
      <c r="D8" s="156"/>
      <c r="E8" s="699" t="s">
        <v>332</v>
      </c>
      <c r="F8" s="699"/>
      <c r="G8" s="700" t="s">
        <v>1089</v>
      </c>
      <c r="H8" s="700"/>
      <c r="I8" s="700" t="s">
        <v>1090</v>
      </c>
      <c r="J8" s="160" t="s">
        <v>1091</v>
      </c>
      <c r="K8" s="701" t="s">
        <v>1092</v>
      </c>
      <c r="L8" s="699" t="s">
        <v>1093</v>
      </c>
    </row>
    <row r="9" spans="1:13">
      <c r="A9" s="702" t="s">
        <v>331</v>
      </c>
      <c r="B9" s="702"/>
      <c r="C9" s="156" t="s">
        <v>181</v>
      </c>
      <c r="D9" s="156"/>
      <c r="E9" s="699" t="s">
        <v>1094</v>
      </c>
      <c r="F9" s="699"/>
      <c r="G9" s="700" t="s">
        <v>1095</v>
      </c>
      <c r="H9" s="700"/>
      <c r="I9" s="700" t="s">
        <v>1092</v>
      </c>
      <c r="J9" s="700" t="s">
        <v>1092</v>
      </c>
      <c r="K9" s="701" t="s">
        <v>1096</v>
      </c>
      <c r="L9" s="699" t="s">
        <v>1097</v>
      </c>
    </row>
    <row r="10" spans="1:13">
      <c r="A10" s="703" t="s">
        <v>333</v>
      </c>
      <c r="B10" s="702"/>
      <c r="C10" s="503" t="s">
        <v>0</v>
      </c>
      <c r="D10" s="709"/>
      <c r="E10" s="704" t="s">
        <v>690</v>
      </c>
      <c r="F10" s="1135"/>
      <c r="G10" s="705" t="s">
        <v>1098</v>
      </c>
      <c r="H10" s="1136"/>
      <c r="I10" s="705" t="s">
        <v>1098</v>
      </c>
      <c r="J10" s="616" t="s">
        <v>1099</v>
      </c>
      <c r="K10" s="706" t="s">
        <v>1100</v>
      </c>
      <c r="L10" s="704" t="s">
        <v>1101</v>
      </c>
    </row>
    <row r="11" spans="1:13">
      <c r="A11" s="707"/>
      <c r="B11" s="707"/>
      <c r="C11" s="160" t="s">
        <v>1102</v>
      </c>
      <c r="D11" s="160"/>
      <c r="E11" s="699" t="s">
        <v>1103</v>
      </c>
      <c r="F11" s="699"/>
      <c r="G11" s="700" t="s">
        <v>1104</v>
      </c>
      <c r="H11" s="700"/>
      <c r="I11" s="700" t="s">
        <v>1105</v>
      </c>
      <c r="J11" s="160" t="s">
        <v>1106</v>
      </c>
      <c r="K11" s="701" t="s">
        <v>1107</v>
      </c>
      <c r="L11" s="699" t="s">
        <v>1108</v>
      </c>
    </row>
    <row r="12" spans="1:13">
      <c r="A12" s="707"/>
      <c r="B12" s="707"/>
      <c r="C12" s="156" t="s">
        <v>1109</v>
      </c>
      <c r="D12" s="156"/>
      <c r="E12" s="626"/>
      <c r="F12" s="626"/>
      <c r="G12" s="697"/>
      <c r="H12" s="697"/>
      <c r="I12" s="697"/>
      <c r="J12" s="156"/>
      <c r="K12" s="698"/>
      <c r="L12" s="626"/>
    </row>
    <row r="13" spans="1:13">
      <c r="A13" s="707"/>
      <c r="B13" s="707"/>
      <c r="C13" s="156" t="s">
        <v>1110</v>
      </c>
      <c r="D13" s="156"/>
      <c r="E13" s="626"/>
      <c r="F13" s="626"/>
      <c r="G13" s="697"/>
      <c r="H13" s="697"/>
      <c r="I13" s="697"/>
      <c r="J13" s="156"/>
      <c r="K13" s="698"/>
      <c r="L13" s="626"/>
    </row>
    <row r="14" spans="1:13">
      <c r="A14" s="708">
        <v>1</v>
      </c>
      <c r="B14" s="708"/>
      <c r="C14" s="156" t="s">
        <v>1111</v>
      </c>
      <c r="D14" s="709"/>
      <c r="E14" s="904">
        <f>'Lead Lag Reclass'!D8</f>
        <v>281117.24</v>
      </c>
      <c r="F14" s="711"/>
      <c r="G14" s="697"/>
      <c r="H14" s="697"/>
      <c r="I14" s="697"/>
      <c r="J14" s="711"/>
      <c r="K14" s="698"/>
      <c r="L14" s="710">
        <f>K14*E14</f>
        <v>0</v>
      </c>
    </row>
    <row r="15" spans="1:13">
      <c r="A15" s="708">
        <f>+A14+1</f>
        <v>2</v>
      </c>
      <c r="B15" s="708"/>
      <c r="C15" s="156" t="s">
        <v>1112</v>
      </c>
      <c r="D15" s="709"/>
      <c r="E15" s="625">
        <f>'Lead Lag Reclass'!D11</f>
        <v>17445062.362369001</v>
      </c>
      <c r="F15" s="626"/>
      <c r="G15" s="697"/>
      <c r="H15" s="697"/>
      <c r="I15" s="697"/>
      <c r="J15" s="712"/>
      <c r="K15" s="698"/>
      <c r="L15" s="713">
        <f>K15*E15</f>
        <v>0</v>
      </c>
    </row>
    <row r="16" spans="1:13">
      <c r="A16" s="708">
        <f>+A15+1</f>
        <v>3</v>
      </c>
      <c r="B16" s="708"/>
      <c r="C16" s="156" t="s">
        <v>1113</v>
      </c>
      <c r="D16" s="709"/>
      <c r="E16" s="625">
        <f>'Lead Lag Reclass'!D14</f>
        <v>383898.77740747575</v>
      </c>
      <c r="F16" s="625"/>
      <c r="G16" s="697"/>
      <c r="H16" s="697"/>
      <c r="I16" s="697"/>
      <c r="J16" s="712"/>
      <c r="K16" s="698"/>
      <c r="L16" s="713">
        <f>K16*E16</f>
        <v>0</v>
      </c>
    </row>
    <row r="17" spans="1:14">
      <c r="A17" s="708"/>
      <c r="B17" s="708"/>
      <c r="C17" s="156"/>
      <c r="D17" s="709"/>
      <c r="E17" s="625"/>
      <c r="F17" s="625"/>
      <c r="G17" s="697"/>
      <c r="H17" s="697"/>
      <c r="I17" s="697"/>
      <c r="J17" s="712"/>
      <c r="K17" s="698"/>
      <c r="L17" s="713"/>
    </row>
    <row r="18" spans="1:14">
      <c r="A18" s="708"/>
      <c r="B18" s="708"/>
      <c r="C18" s="156" t="s">
        <v>1893</v>
      </c>
      <c r="D18" s="709"/>
      <c r="E18" s="625"/>
      <c r="F18" s="625"/>
      <c r="G18" s="697"/>
      <c r="H18" s="697"/>
      <c r="I18" s="697"/>
      <c r="J18" s="712"/>
      <c r="K18" s="698"/>
      <c r="L18" s="713"/>
    </row>
    <row r="19" spans="1:14">
      <c r="A19" s="708">
        <f>A16+1</f>
        <v>4</v>
      </c>
      <c r="B19" s="708"/>
      <c r="C19" s="156" t="s">
        <v>1120</v>
      </c>
      <c r="D19" s="709"/>
      <c r="E19" s="625">
        <f>'Lead Lag Reclass'!D52</f>
        <v>25097.49</v>
      </c>
      <c r="F19" s="625"/>
      <c r="G19" s="716"/>
      <c r="H19" s="717"/>
      <c r="I19" s="713"/>
      <c r="J19" s="712"/>
      <c r="K19" s="714"/>
      <c r="L19" s="625">
        <v>0</v>
      </c>
      <c r="M19" s="718"/>
    </row>
    <row r="20" spans="1:14">
      <c r="A20" s="708">
        <f>+A19+1</f>
        <v>5</v>
      </c>
      <c r="B20" s="708"/>
      <c r="C20" s="156" t="s">
        <v>1121</v>
      </c>
      <c r="D20" s="709"/>
      <c r="E20" s="625">
        <f>'Lead Lag Reclass'!D58</f>
        <v>1988859.4259669497</v>
      </c>
      <c r="F20" s="625"/>
      <c r="G20" s="716"/>
      <c r="H20" s="717"/>
      <c r="I20" s="713"/>
      <c r="J20" s="712"/>
      <c r="K20" s="714"/>
      <c r="L20" s="625">
        <v>0</v>
      </c>
      <c r="M20" s="718"/>
    </row>
    <row r="21" spans="1:14">
      <c r="A21" s="708"/>
      <c r="B21" s="708"/>
      <c r="C21" s="156"/>
      <c r="D21" s="709"/>
      <c r="E21" s="625"/>
      <c r="F21" s="625"/>
      <c r="G21" s="716"/>
      <c r="H21" s="717"/>
      <c r="I21" s="713"/>
      <c r="J21" s="712"/>
      <c r="K21" s="714"/>
      <c r="L21" s="625"/>
      <c r="M21" s="718"/>
    </row>
    <row r="22" spans="1:14">
      <c r="C22" s="156" t="s">
        <v>1895</v>
      </c>
      <c r="D22" s="709"/>
      <c r="E22" s="625"/>
      <c r="F22" s="625"/>
      <c r="G22" s="713"/>
      <c r="H22" s="713"/>
      <c r="I22" s="713"/>
      <c r="J22" s="156"/>
      <c r="K22" s="714"/>
      <c r="L22" s="625"/>
    </row>
    <row r="23" spans="1:14">
      <c r="A23" s="708">
        <f>A20+1</f>
        <v>6</v>
      </c>
      <c r="B23" s="708"/>
      <c r="C23" s="156" t="s">
        <v>1114</v>
      </c>
      <c r="D23" s="709"/>
      <c r="E23" s="625">
        <f>'Lead Lag Reclass'!D96</f>
        <v>9223674.6400000006</v>
      </c>
      <c r="F23" s="715"/>
      <c r="G23" s="716">
        <f>'Lead Lag Days'!C6</f>
        <v>27.52</v>
      </c>
      <c r="H23" s="717"/>
      <c r="I23" s="713">
        <f>'Lead Lag Days'!C11</f>
        <v>34.57</v>
      </c>
      <c r="J23" s="712">
        <f t="shared" ref="J23:J37" si="0">G23-I23</f>
        <v>-7.0500000000000007</v>
      </c>
      <c r="K23" s="714">
        <f t="shared" ref="K23:K37" si="1">ROUND(J23/365,4)</f>
        <v>-1.9300000000000001E-2</v>
      </c>
      <c r="L23" s="625">
        <f t="shared" ref="L23:L37" si="2">K23*E23</f>
        <v>-178016.92055200003</v>
      </c>
      <c r="M23" s="718"/>
      <c r="N23" s="1141" t="s">
        <v>1949</v>
      </c>
    </row>
    <row r="24" spans="1:14">
      <c r="A24" s="708">
        <f>A23+1</f>
        <v>7</v>
      </c>
      <c r="B24" s="708"/>
      <c r="C24" s="687" t="s">
        <v>1115</v>
      </c>
      <c r="D24" s="709"/>
      <c r="E24" s="625">
        <f>'Lead Lag Reclass'!D17</f>
        <v>7537087.3136323923</v>
      </c>
      <c r="F24" s="625"/>
      <c r="G24" s="713">
        <f>G23</f>
        <v>27.52</v>
      </c>
      <c r="H24" s="717"/>
      <c r="I24" s="713">
        <f>'Lead Lag Days'!C7</f>
        <v>11.19</v>
      </c>
      <c r="J24" s="712">
        <f t="shared" si="0"/>
        <v>16.329999999999998</v>
      </c>
      <c r="K24" s="714">
        <f t="shared" si="1"/>
        <v>4.4699999999999997E-2</v>
      </c>
      <c r="L24" s="625">
        <f t="shared" si="2"/>
        <v>336907.80291936791</v>
      </c>
      <c r="M24" s="718"/>
      <c r="N24" s="1141" t="s">
        <v>1949</v>
      </c>
    </row>
    <row r="25" spans="1:14">
      <c r="A25" s="708">
        <f t="shared" ref="A25:A37" si="3">+A24+1</f>
        <v>8</v>
      </c>
      <c r="B25" s="708"/>
      <c r="C25" s="687" t="s">
        <v>1116</v>
      </c>
      <c r="D25" s="709"/>
      <c r="E25" s="625">
        <f>'Lead Lag Reclass'!D20</f>
        <v>364968.63199999998</v>
      </c>
      <c r="F25" s="625"/>
      <c r="G25" s="716">
        <f>+G24</f>
        <v>27.52</v>
      </c>
      <c r="H25" s="717"/>
      <c r="I25" s="713">
        <f>'Lead Lag Days'!C8</f>
        <v>258</v>
      </c>
      <c r="J25" s="712">
        <f t="shared" si="0"/>
        <v>-230.48</v>
      </c>
      <c r="K25" s="714">
        <f t="shared" si="1"/>
        <v>-0.63149999999999995</v>
      </c>
      <c r="L25" s="625">
        <f t="shared" si="2"/>
        <v>-230477.69110799997</v>
      </c>
      <c r="M25" s="718"/>
      <c r="N25" s="1141" t="s">
        <v>1949</v>
      </c>
    </row>
    <row r="26" spans="1:14">
      <c r="A26" s="708">
        <f t="shared" si="3"/>
        <v>9</v>
      </c>
      <c r="B26" s="708"/>
      <c r="C26" s="511" t="s">
        <v>1117</v>
      </c>
      <c r="D26" s="709"/>
      <c r="E26" s="625">
        <f>'Lead Lag Reclass'!D34</f>
        <v>3453392.4869419443</v>
      </c>
      <c r="F26" s="625"/>
      <c r="G26" s="716">
        <f>+G25</f>
        <v>27.52</v>
      </c>
      <c r="H26" s="717"/>
      <c r="I26" s="713">
        <f>'Lead Lag Days'!C12</f>
        <v>10.93</v>
      </c>
      <c r="J26" s="712">
        <f t="shared" si="0"/>
        <v>16.59</v>
      </c>
      <c r="K26" s="714">
        <f t="shared" si="1"/>
        <v>4.5499999999999999E-2</v>
      </c>
      <c r="L26" s="625">
        <f t="shared" si="2"/>
        <v>157129.35815585847</v>
      </c>
      <c r="M26" s="718"/>
      <c r="N26" s="1141" t="s">
        <v>1949</v>
      </c>
    </row>
    <row r="27" spans="1:14">
      <c r="A27" s="708">
        <f t="shared" si="3"/>
        <v>10</v>
      </c>
      <c r="B27" s="708"/>
      <c r="C27" s="156" t="s">
        <v>1118</v>
      </c>
      <c r="D27" s="709"/>
      <c r="E27" s="625">
        <f>'Lead Lag Reclass'!D40</f>
        <v>611529.56668693293</v>
      </c>
      <c r="F27" s="625"/>
      <c r="G27" s="716">
        <f>+G26</f>
        <v>27.52</v>
      </c>
      <c r="H27" s="717"/>
      <c r="I27" s="713">
        <f>'Lead Lag Days'!C14</f>
        <v>7.1</v>
      </c>
      <c r="J27" s="712">
        <f t="shared" si="0"/>
        <v>20.420000000000002</v>
      </c>
      <c r="K27" s="714">
        <f t="shared" si="1"/>
        <v>5.5899999999999998E-2</v>
      </c>
      <c r="L27" s="625">
        <f t="shared" si="2"/>
        <v>34184.502777799549</v>
      </c>
      <c r="M27" s="718"/>
      <c r="N27" s="1141" t="s">
        <v>1949</v>
      </c>
    </row>
    <row r="28" spans="1:14">
      <c r="A28" s="708">
        <f t="shared" si="3"/>
        <v>11</v>
      </c>
      <c r="B28" s="708"/>
      <c r="C28" s="156" t="s">
        <v>1119</v>
      </c>
      <c r="D28" s="709"/>
      <c r="E28" s="625">
        <f>'Lead Lag Reclass'!D46</f>
        <v>350416.7799999998</v>
      </c>
      <c r="F28" s="625"/>
      <c r="G28" s="716">
        <f t="shared" ref="G28:G34" si="4">+G27</f>
        <v>27.52</v>
      </c>
      <c r="H28" s="717"/>
      <c r="I28" s="713">
        <f>'Lead Lag Days'!C15</f>
        <v>51.96</v>
      </c>
      <c r="J28" s="712">
        <f t="shared" si="0"/>
        <v>-24.44</v>
      </c>
      <c r="K28" s="714">
        <f t="shared" si="1"/>
        <v>-6.7000000000000004E-2</v>
      </c>
      <c r="L28" s="625">
        <f t="shared" si="2"/>
        <v>-23477.924259999989</v>
      </c>
      <c r="M28" s="718"/>
      <c r="N28" s="1141" t="s">
        <v>1949</v>
      </c>
    </row>
    <row r="29" spans="1:14">
      <c r="A29" s="708">
        <f t="shared" si="3"/>
        <v>12</v>
      </c>
      <c r="B29" s="708"/>
      <c r="C29" s="156" t="s">
        <v>1122</v>
      </c>
      <c r="D29" s="709"/>
      <c r="E29" s="625">
        <f>'Lead Lag Reclass'!D64</f>
        <v>2111339.04</v>
      </c>
      <c r="F29" s="625"/>
      <c r="G29" s="716">
        <f t="shared" si="4"/>
        <v>27.52</v>
      </c>
      <c r="H29" s="717"/>
      <c r="I29" s="713">
        <f>'Lead Lag Days'!C16</f>
        <v>41.5</v>
      </c>
      <c r="J29" s="712">
        <f t="shared" si="0"/>
        <v>-13.98</v>
      </c>
      <c r="K29" s="714">
        <f t="shared" si="1"/>
        <v>-3.8300000000000001E-2</v>
      </c>
      <c r="L29" s="625">
        <f t="shared" si="2"/>
        <v>-80864.285232000009</v>
      </c>
      <c r="M29" s="718"/>
      <c r="N29" s="1141" t="s">
        <v>1949</v>
      </c>
    </row>
    <row r="30" spans="1:14">
      <c r="A30" s="708">
        <f t="shared" si="3"/>
        <v>13</v>
      </c>
      <c r="B30" s="708"/>
      <c r="C30" s="719" t="s">
        <v>1123</v>
      </c>
      <c r="D30" s="709"/>
      <c r="E30" s="625">
        <f>'Lead Lag Reclass'!D70</f>
        <v>2505.7304634969605</v>
      </c>
      <c r="F30" s="625"/>
      <c r="G30" s="716">
        <f t="shared" si="4"/>
        <v>27.52</v>
      </c>
      <c r="H30" s="717"/>
      <c r="I30" s="713">
        <f>'Lead Lag Days'!C17</f>
        <v>24.94</v>
      </c>
      <c r="J30" s="712">
        <f t="shared" si="0"/>
        <v>2.5799999999999983</v>
      </c>
      <c r="K30" s="714">
        <f t="shared" si="1"/>
        <v>7.1000000000000004E-3</v>
      </c>
      <c r="L30" s="625">
        <f t="shared" si="2"/>
        <v>17.790686290828422</v>
      </c>
      <c r="M30" s="718"/>
      <c r="N30" s="1141" t="s">
        <v>1949</v>
      </c>
    </row>
    <row r="31" spans="1:14">
      <c r="A31" s="708">
        <f t="shared" si="3"/>
        <v>14</v>
      </c>
      <c r="B31" s="708"/>
      <c r="C31" s="719" t="s">
        <v>1124</v>
      </c>
      <c r="D31" s="709"/>
      <c r="E31" s="625">
        <f>'Lead Lag Reclass'!D76</f>
        <v>224764.55000000002</v>
      </c>
      <c r="F31" s="625"/>
      <c r="G31" s="716">
        <f t="shared" si="4"/>
        <v>27.52</v>
      </c>
      <c r="H31" s="717"/>
      <c r="I31" s="713">
        <f>'Lead Lag Days'!C18</f>
        <v>-63.31</v>
      </c>
      <c r="J31" s="712">
        <f t="shared" si="0"/>
        <v>90.83</v>
      </c>
      <c r="K31" s="714">
        <f t="shared" si="1"/>
        <v>0.24879999999999999</v>
      </c>
      <c r="L31" s="625">
        <f t="shared" si="2"/>
        <v>55921.420040000005</v>
      </c>
      <c r="M31" s="718"/>
      <c r="N31" s="1141" t="s">
        <v>1949</v>
      </c>
    </row>
    <row r="32" spans="1:14">
      <c r="A32" s="708">
        <f t="shared" si="3"/>
        <v>15</v>
      </c>
      <c r="B32" s="708"/>
      <c r="C32" s="156" t="s">
        <v>1125</v>
      </c>
      <c r="D32" s="709"/>
      <c r="E32" s="625">
        <f>'Lead Lag Reclass'!D81</f>
        <v>29681.840000000026</v>
      </c>
      <c r="F32" s="625"/>
      <c r="G32" s="716">
        <f t="shared" si="4"/>
        <v>27.52</v>
      </c>
      <c r="H32" s="717"/>
      <c r="I32" s="713">
        <f>'Lead Lag Days'!C19</f>
        <v>43.47</v>
      </c>
      <c r="J32" s="712">
        <f t="shared" si="0"/>
        <v>-15.95</v>
      </c>
      <c r="K32" s="714">
        <f t="shared" si="1"/>
        <v>-4.3700000000000003E-2</v>
      </c>
      <c r="L32" s="625">
        <f t="shared" si="2"/>
        <v>-1297.0964080000012</v>
      </c>
      <c r="M32" s="718"/>
      <c r="N32" s="1141" t="s">
        <v>1949</v>
      </c>
    </row>
    <row r="33" spans="1:14">
      <c r="A33" s="708">
        <f t="shared" si="3"/>
        <v>16</v>
      </c>
      <c r="B33" s="708"/>
      <c r="C33" s="156" t="s">
        <v>1126</v>
      </c>
      <c r="D33" s="709"/>
      <c r="E33" s="625">
        <f>'Lead Lag Reclass'!D86</f>
        <v>4971210.869877005</v>
      </c>
      <c r="F33" s="625"/>
      <c r="G33" s="716">
        <f t="shared" si="4"/>
        <v>27.52</v>
      </c>
      <c r="H33" s="717"/>
      <c r="I33" s="713">
        <f>'Lead Lag Days'!C20</f>
        <v>209</v>
      </c>
      <c r="J33" s="712">
        <f t="shared" si="0"/>
        <v>-181.48</v>
      </c>
      <c r="K33" s="714">
        <f t="shared" si="1"/>
        <v>-0.49719999999999998</v>
      </c>
      <c r="L33" s="625">
        <f t="shared" si="2"/>
        <v>-2471686.0445028469</v>
      </c>
      <c r="M33" s="1141" t="s">
        <v>1945</v>
      </c>
    </row>
    <row r="34" spans="1:14">
      <c r="A34" s="708">
        <f t="shared" si="3"/>
        <v>17</v>
      </c>
      <c r="B34" s="708"/>
      <c r="C34" s="156" t="s">
        <v>1127</v>
      </c>
      <c r="D34" s="709"/>
      <c r="E34" s="625">
        <f>'Lead Lag Reclass'!D91</f>
        <v>682218.63580000028</v>
      </c>
      <c r="F34" s="625"/>
      <c r="G34" s="716">
        <f t="shared" si="4"/>
        <v>27.52</v>
      </c>
      <c r="H34" s="717"/>
      <c r="I34" s="713">
        <f>'Lead Lag Days'!C9</f>
        <v>11.19</v>
      </c>
      <c r="J34" s="712">
        <f t="shared" si="0"/>
        <v>16.329999999999998</v>
      </c>
      <c r="K34" s="714">
        <f t="shared" si="1"/>
        <v>4.4699999999999997E-2</v>
      </c>
      <c r="L34" s="625">
        <f t="shared" si="2"/>
        <v>30495.173020260012</v>
      </c>
      <c r="M34" s="718"/>
      <c r="N34" s="1141" t="s">
        <v>1949</v>
      </c>
    </row>
    <row r="35" spans="1:14">
      <c r="A35" s="708">
        <f t="shared" si="3"/>
        <v>18</v>
      </c>
      <c r="B35" s="708"/>
      <c r="C35" s="156" t="s">
        <v>1128</v>
      </c>
      <c r="D35" s="709"/>
      <c r="E35" s="625">
        <f>'Lead Lag Reclass'!D98</f>
        <v>1368864.2109483429</v>
      </c>
      <c r="F35" s="625"/>
      <c r="G35" s="716">
        <f>+G34</f>
        <v>27.52</v>
      </c>
      <c r="H35" s="717"/>
      <c r="I35" s="713">
        <f>'Lead Lag Days'!C21</f>
        <v>37</v>
      </c>
      <c r="J35" s="712">
        <f t="shared" si="0"/>
        <v>-9.48</v>
      </c>
      <c r="K35" s="714">
        <f t="shared" si="1"/>
        <v>-2.5999999999999999E-2</v>
      </c>
      <c r="L35" s="625">
        <f t="shared" si="2"/>
        <v>-35590.469484656911</v>
      </c>
      <c r="M35" s="718"/>
      <c r="N35" s="1141" t="s">
        <v>1949</v>
      </c>
    </row>
    <row r="36" spans="1:14">
      <c r="A36" s="708">
        <f t="shared" si="3"/>
        <v>19</v>
      </c>
      <c r="B36" s="708"/>
      <c r="C36" s="156" t="s">
        <v>1129</v>
      </c>
      <c r="D36" s="709"/>
      <c r="E36" s="625">
        <f>'Lead Lag Reclass'!D93</f>
        <v>53976.84</v>
      </c>
      <c r="F36" s="625"/>
      <c r="G36" s="716">
        <f>+G35</f>
        <v>27.52</v>
      </c>
      <c r="H36" s="717"/>
      <c r="I36" s="713">
        <f>'Lead Lag Days'!C22</f>
        <v>182.5</v>
      </c>
      <c r="J36" s="712">
        <f t="shared" si="0"/>
        <v>-154.97999999999999</v>
      </c>
      <c r="K36" s="714">
        <f t="shared" si="1"/>
        <v>-0.42459999999999998</v>
      </c>
      <c r="L36" s="625">
        <f t="shared" si="2"/>
        <v>-22918.566263999997</v>
      </c>
      <c r="M36" s="718"/>
      <c r="N36" s="1141" t="s">
        <v>1949</v>
      </c>
    </row>
    <row r="37" spans="1:14">
      <c r="A37" s="708">
        <f t="shared" si="3"/>
        <v>20</v>
      </c>
      <c r="B37" s="708"/>
      <c r="C37" s="156" t="s">
        <v>1130</v>
      </c>
      <c r="D37" s="709"/>
      <c r="E37" s="721">
        <v>2957737.0943834111</v>
      </c>
      <c r="F37" s="499"/>
      <c r="G37" s="716">
        <f>+G36</f>
        <v>27.52</v>
      </c>
      <c r="H37" s="717"/>
      <c r="I37" s="713">
        <f>'Lead Lag Days'!C13</f>
        <v>39.869999999999997</v>
      </c>
      <c r="J37" s="712">
        <f t="shared" si="0"/>
        <v>-12.349999999999998</v>
      </c>
      <c r="K37" s="714">
        <f t="shared" si="1"/>
        <v>-3.3799999999999997E-2</v>
      </c>
      <c r="L37" s="625">
        <f t="shared" si="2"/>
        <v>-99971.513790159283</v>
      </c>
      <c r="M37" s="718"/>
      <c r="N37" s="1141" t="s">
        <v>1949</v>
      </c>
    </row>
    <row r="38" spans="1:14">
      <c r="A38" s="708"/>
      <c r="B38" s="708"/>
      <c r="C38" s="156"/>
      <c r="D38" s="709"/>
      <c r="E38" s="625"/>
      <c r="F38" s="625"/>
      <c r="G38" s="713"/>
      <c r="H38" s="722"/>
      <c r="I38" s="720"/>
      <c r="J38" s="156"/>
      <c r="K38" s="714"/>
      <c r="L38" s="625"/>
      <c r="M38" s="718"/>
    </row>
    <row r="39" spans="1:14" ht="10.8" thickBot="1">
      <c r="A39" s="708">
        <f>A37+1</f>
        <v>21</v>
      </c>
      <c r="B39" s="708"/>
      <c r="C39" s="156" t="s">
        <v>1131</v>
      </c>
      <c r="D39" s="160"/>
      <c r="E39" s="723">
        <f>SUM(E14:E37)</f>
        <v>54067403.526476949</v>
      </c>
      <c r="F39" s="724"/>
      <c r="G39" s="713"/>
      <c r="H39" s="722"/>
      <c r="I39" s="720"/>
      <c r="J39" s="156"/>
      <c r="K39" s="714"/>
      <c r="L39" s="625"/>
      <c r="M39" s="718"/>
    </row>
    <row r="40" spans="1:14" ht="10.8" thickTop="1">
      <c r="A40" s="707"/>
      <c r="B40" s="707"/>
      <c r="C40" s="156"/>
      <c r="D40" s="160"/>
      <c r="E40" s="625"/>
      <c r="F40" s="625"/>
      <c r="G40" s="713"/>
      <c r="H40" s="722"/>
      <c r="I40" s="720"/>
      <c r="J40" s="156"/>
      <c r="K40" s="714"/>
      <c r="L40" s="625"/>
      <c r="M40" s="718"/>
    </row>
    <row r="41" spans="1:14">
      <c r="A41" s="708"/>
      <c r="B41" s="708"/>
      <c r="C41" s="156" t="s">
        <v>1132</v>
      </c>
      <c r="D41" s="160"/>
      <c r="E41" s="625"/>
      <c r="F41" s="625"/>
      <c r="G41" s="713"/>
      <c r="H41" s="722"/>
      <c r="I41" s="720"/>
      <c r="J41" s="156"/>
      <c r="K41" s="714"/>
      <c r="L41" s="625"/>
      <c r="M41" s="718"/>
    </row>
    <row r="42" spans="1:14">
      <c r="A42" s="708">
        <f>A39+1</f>
        <v>22</v>
      </c>
      <c r="B42" s="708"/>
      <c r="C42" s="687" t="s">
        <v>1133</v>
      </c>
      <c r="D42" s="709"/>
      <c r="E42" s="865">
        <f>'Rate Base'!H143*'Rev Exp'!J163</f>
        <v>6668261.0536346389</v>
      </c>
      <c r="F42" s="725"/>
      <c r="G42" s="716">
        <f>+G37</f>
        <v>27.52</v>
      </c>
      <c r="H42" s="717"/>
      <c r="I42" s="713">
        <f>'Lead Lag Days'!C24</f>
        <v>74.53</v>
      </c>
      <c r="J42" s="712">
        <f>G42-I42</f>
        <v>-47.010000000000005</v>
      </c>
      <c r="K42" s="714">
        <f>ROUND(J42/365,4)</f>
        <v>-0.1288</v>
      </c>
      <c r="L42" s="625">
        <f>K42*E42</f>
        <v>-858872.02370814153</v>
      </c>
      <c r="N42" s="1141" t="s">
        <v>1948</v>
      </c>
    </row>
    <row r="43" spans="1:14">
      <c r="A43" s="708">
        <f>A42+1</f>
        <v>23</v>
      </c>
      <c r="B43" s="708"/>
      <c r="C43" s="156" t="s">
        <v>1134</v>
      </c>
      <c r="D43" s="709"/>
      <c r="E43" s="904">
        <v>13107762.781648679</v>
      </c>
      <c r="F43" s="726"/>
      <c r="G43" s="716">
        <f>+G42</f>
        <v>27.52</v>
      </c>
      <c r="H43" s="717"/>
      <c r="I43" s="713">
        <f>'Lead Lag Days'!C23</f>
        <v>46.78</v>
      </c>
      <c r="J43" s="712">
        <f>G43-I43</f>
        <v>-19.260000000000002</v>
      </c>
      <c r="K43" s="714">
        <f>ROUND(J43/365,4)</f>
        <v>-5.28E-2</v>
      </c>
      <c r="L43" s="499">
        <f>K43*E43</f>
        <v>-692089.87487105024</v>
      </c>
      <c r="M43" s="1141" t="s">
        <v>1944</v>
      </c>
      <c r="N43" s="1141" t="s">
        <v>1947</v>
      </c>
    </row>
    <row r="44" spans="1:14">
      <c r="A44" s="708">
        <f>A43+1</f>
        <v>24</v>
      </c>
      <c r="B44" s="708"/>
      <c r="C44" s="511" t="s">
        <v>1772</v>
      </c>
      <c r="D44" s="709"/>
      <c r="E44" s="904">
        <f>'Lead Lag Reclass'!D25</f>
        <v>59989536.529999994</v>
      </c>
      <c r="F44" s="625"/>
      <c r="G44" s="716">
        <f>+G25</f>
        <v>27.52</v>
      </c>
      <c r="H44" s="717"/>
      <c r="I44" s="713">
        <f>'Lead Lag Days'!C10</f>
        <v>34.97</v>
      </c>
      <c r="J44" s="712">
        <f>G44-I44</f>
        <v>-7.4499999999999993</v>
      </c>
      <c r="K44" s="714">
        <f>ROUND(J44/365,4)</f>
        <v>-2.0400000000000001E-2</v>
      </c>
      <c r="L44" s="625">
        <f>K44*E44</f>
        <v>-1223786.5452119999</v>
      </c>
      <c r="N44" s="1141" t="s">
        <v>1946</v>
      </c>
    </row>
    <row r="45" spans="1:14">
      <c r="A45" s="708"/>
      <c r="B45" s="708"/>
      <c r="C45" s="156"/>
      <c r="D45" s="160"/>
      <c r="E45" s="625"/>
      <c r="F45" s="625"/>
      <c r="G45" s="713"/>
      <c r="H45" s="713"/>
      <c r="I45" s="720"/>
      <c r="J45" s="156"/>
      <c r="K45" s="714"/>
      <c r="L45" s="625"/>
    </row>
    <row r="46" spans="1:14" ht="10.8" thickBot="1">
      <c r="A46" s="708">
        <f>A43+1</f>
        <v>24</v>
      </c>
      <c r="B46" s="708"/>
      <c r="C46" s="156" t="s">
        <v>1135</v>
      </c>
      <c r="D46" s="160"/>
      <c r="E46" s="625"/>
      <c r="F46" s="625"/>
      <c r="G46" s="713"/>
      <c r="H46" s="713"/>
      <c r="I46" s="713"/>
      <c r="J46" s="156"/>
      <c r="K46" s="714"/>
      <c r="L46" s="728">
        <f>SUM(L14:L44)</f>
        <v>-5304392.9077932779</v>
      </c>
      <c r="M46" s="729"/>
    </row>
    <row r="47" spans="1:14" ht="10.8" thickTop="1"/>
  </sheetData>
  <mergeCells count="3">
    <mergeCell ref="A3:M3"/>
    <mergeCell ref="A4:M4"/>
    <mergeCell ref="A5:M5"/>
  </mergeCells>
  <printOptions horizontalCentered="1"/>
  <pageMargins left="0.7" right="0.7" top="0.75" bottom="0.75" header="0.3" footer="0.3"/>
  <pageSetup scale="97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22D65-03D8-4872-954F-52FFF4D8DA0D}">
  <dimension ref="A1:C24"/>
  <sheetViews>
    <sheetView workbookViewId="0"/>
  </sheetViews>
  <sheetFormatPr defaultColWidth="9.109375" defaultRowHeight="13.2"/>
  <cols>
    <col min="1" max="1" width="33.44140625" style="251" bestFit="1" customWidth="1"/>
    <col min="2" max="2" width="10.44140625" style="251" customWidth="1"/>
    <col min="3" max="16384" width="9.109375" style="251"/>
  </cols>
  <sheetData>
    <row r="1" spans="1:3">
      <c r="A1" s="872" t="s">
        <v>4</v>
      </c>
      <c r="B1" s="873"/>
      <c r="C1" s="874"/>
    </row>
    <row r="2" spans="1:3">
      <c r="A2" s="872" t="s">
        <v>1444</v>
      </c>
      <c r="B2" s="873"/>
      <c r="C2" s="874"/>
    </row>
    <row r="3" spans="1:3">
      <c r="A3" s="875" t="str">
        <f>'A1'!A5</f>
        <v>Test Year Ended June 30, 2024</v>
      </c>
      <c r="B3" s="873"/>
      <c r="C3" s="874"/>
    </row>
    <row r="4" spans="1:3">
      <c r="B4" s="420"/>
      <c r="C4" s="874"/>
    </row>
    <row r="5" spans="1:3" ht="39.6">
      <c r="B5" s="1046" t="s">
        <v>1445</v>
      </c>
      <c r="C5" s="876" t="s">
        <v>1444</v>
      </c>
    </row>
    <row r="6" spans="1:3">
      <c r="A6" s="251" t="s">
        <v>1089</v>
      </c>
      <c r="B6" s="420" t="s">
        <v>1446</v>
      </c>
      <c r="C6" s="956">
        <v>27.52</v>
      </c>
    </row>
    <row r="7" spans="1:3">
      <c r="A7" s="251" t="s">
        <v>1448</v>
      </c>
      <c r="B7" s="420" t="s">
        <v>1449</v>
      </c>
      <c r="C7" s="956">
        <v>11.19</v>
      </c>
    </row>
    <row r="8" spans="1:3">
      <c r="A8" s="251" t="s">
        <v>1451</v>
      </c>
      <c r="B8" s="420" t="s">
        <v>1449</v>
      </c>
      <c r="C8" s="956">
        <v>258</v>
      </c>
    </row>
    <row r="9" spans="1:3">
      <c r="A9" s="251" t="s">
        <v>1453</v>
      </c>
      <c r="B9" s="420" t="s">
        <v>1449</v>
      </c>
      <c r="C9" s="956">
        <f>C7</f>
        <v>11.19</v>
      </c>
    </row>
    <row r="10" spans="1:3">
      <c r="A10" s="251" t="s">
        <v>1765</v>
      </c>
      <c r="B10" s="420" t="s">
        <v>1456</v>
      </c>
      <c r="C10" s="956">
        <v>34.97</v>
      </c>
    </row>
    <row r="11" spans="1:3">
      <c r="A11" s="251" t="s">
        <v>1455</v>
      </c>
      <c r="B11" s="420" t="s">
        <v>1456</v>
      </c>
      <c r="C11" s="956">
        <v>34.57</v>
      </c>
    </row>
    <row r="12" spans="1:3">
      <c r="A12" s="251" t="s">
        <v>1460</v>
      </c>
      <c r="B12" s="420" t="s">
        <v>1456</v>
      </c>
      <c r="C12" s="956">
        <v>10.93</v>
      </c>
    </row>
    <row r="13" spans="1:3">
      <c r="A13" s="251" t="s">
        <v>1464</v>
      </c>
      <c r="B13" s="420" t="s">
        <v>1456</v>
      </c>
      <c r="C13" s="956">
        <v>39.869999999999997</v>
      </c>
    </row>
    <row r="14" spans="1:3">
      <c r="A14" s="251" t="s">
        <v>1466</v>
      </c>
      <c r="B14" s="420" t="s">
        <v>1456</v>
      </c>
      <c r="C14" s="956">
        <v>7.1</v>
      </c>
    </row>
    <row r="15" spans="1:3">
      <c r="A15" s="251" t="s">
        <v>1468</v>
      </c>
      <c r="B15" s="420" t="s">
        <v>1456</v>
      </c>
      <c r="C15" s="956">
        <v>51.96</v>
      </c>
    </row>
    <row r="16" spans="1:3">
      <c r="A16" s="251" t="s">
        <v>1776</v>
      </c>
      <c r="B16" s="420" t="s">
        <v>1456</v>
      </c>
      <c r="C16" s="956">
        <v>41.5</v>
      </c>
    </row>
    <row r="17" spans="1:3">
      <c r="A17" s="251" t="s">
        <v>703</v>
      </c>
      <c r="B17" s="420" t="s">
        <v>1456</v>
      </c>
      <c r="C17" s="956">
        <v>24.94</v>
      </c>
    </row>
    <row r="18" spans="1:3">
      <c r="A18" s="251" t="s">
        <v>95</v>
      </c>
      <c r="B18" s="420" t="s">
        <v>1456</v>
      </c>
      <c r="C18" s="956">
        <v>-63.31</v>
      </c>
    </row>
    <row r="19" spans="1:3">
      <c r="A19" s="251" t="s">
        <v>75</v>
      </c>
      <c r="B19" s="420" t="s">
        <v>1456</v>
      </c>
      <c r="C19" s="956">
        <v>43.47</v>
      </c>
    </row>
    <row r="20" spans="1:3">
      <c r="A20" s="251" t="s">
        <v>1475</v>
      </c>
      <c r="B20" s="420" t="s">
        <v>1458</v>
      </c>
      <c r="C20" s="956">
        <v>209</v>
      </c>
    </row>
    <row r="21" spans="1:3">
      <c r="A21" s="251" t="s">
        <v>1477</v>
      </c>
      <c r="B21" s="420" t="s">
        <v>1458</v>
      </c>
      <c r="C21" s="956">
        <v>37</v>
      </c>
    </row>
    <row r="22" spans="1:3">
      <c r="A22" s="251" t="s">
        <v>140</v>
      </c>
      <c r="B22" s="420" t="s">
        <v>22</v>
      </c>
      <c r="C22" s="956">
        <v>182.5</v>
      </c>
    </row>
    <row r="23" spans="1:3">
      <c r="A23" s="251" t="s">
        <v>1480</v>
      </c>
      <c r="B23" s="420" t="s">
        <v>1458</v>
      </c>
      <c r="C23" s="956">
        <v>46.78</v>
      </c>
    </row>
    <row r="24" spans="1:3">
      <c r="A24" s="251" t="s">
        <v>1140</v>
      </c>
      <c r="B24" s="420" t="s">
        <v>1462</v>
      </c>
      <c r="C24" s="956">
        <v>74.53</v>
      </c>
    </row>
  </sheetData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A83B9-749A-42F1-A348-DBA19147CA57}">
  <sheetPr>
    <pageSetUpPr fitToPage="1"/>
  </sheetPr>
  <dimension ref="A1:K103"/>
  <sheetViews>
    <sheetView zoomScaleNormal="100" workbookViewId="0"/>
  </sheetViews>
  <sheetFormatPr defaultRowHeight="14.25" customHeight="1"/>
  <cols>
    <col min="1" max="2" width="2.5546875" style="877" customWidth="1"/>
    <col min="3" max="3" width="51.33203125" style="877" bestFit="1" customWidth="1"/>
    <col min="4" max="4" width="14.33203125" style="883" customWidth="1"/>
    <col min="5" max="5" width="2.109375" style="877" bestFit="1" customWidth="1"/>
    <col min="6" max="6" width="35.109375" style="877" bestFit="1" customWidth="1"/>
    <col min="7" max="7" width="20.88671875" style="877" customWidth="1"/>
    <col min="8" max="8" width="11.109375" style="877" bestFit="1" customWidth="1"/>
    <col min="9" max="9" width="11.88671875" style="877" customWidth="1"/>
    <col min="10" max="252" width="8.6640625" style="877"/>
    <col min="253" max="253" width="5.6640625" style="877" customWidth="1"/>
    <col min="254" max="254" width="13.33203125" style="877" customWidth="1"/>
    <col min="255" max="259" width="8.6640625" style="877"/>
    <col min="260" max="260" width="14.33203125" style="877" customWidth="1"/>
    <col min="261" max="261" width="7.5546875" style="877" customWidth="1"/>
    <col min="262" max="262" width="33.5546875" style="877" customWidth="1"/>
    <col min="263" max="264" width="8.6640625" style="877"/>
    <col min="265" max="265" width="11.88671875" style="877" customWidth="1"/>
    <col min="266" max="508" width="8.6640625" style="877"/>
    <col min="509" max="509" width="5.6640625" style="877" customWidth="1"/>
    <col min="510" max="510" width="13.33203125" style="877" customWidth="1"/>
    <col min="511" max="515" width="8.6640625" style="877"/>
    <col min="516" max="516" width="14.33203125" style="877" customWidth="1"/>
    <col min="517" max="517" width="7.5546875" style="877" customWidth="1"/>
    <col min="518" max="518" width="33.5546875" style="877" customWidth="1"/>
    <col min="519" max="520" width="8.6640625" style="877"/>
    <col min="521" max="521" width="11.88671875" style="877" customWidth="1"/>
    <col min="522" max="764" width="8.6640625" style="877"/>
    <col min="765" max="765" width="5.6640625" style="877" customWidth="1"/>
    <col min="766" max="766" width="13.33203125" style="877" customWidth="1"/>
    <col min="767" max="771" width="8.6640625" style="877"/>
    <col min="772" max="772" width="14.33203125" style="877" customWidth="1"/>
    <col min="773" max="773" width="7.5546875" style="877" customWidth="1"/>
    <col min="774" max="774" width="33.5546875" style="877" customWidth="1"/>
    <col min="775" max="776" width="8.6640625" style="877"/>
    <col min="777" max="777" width="11.88671875" style="877" customWidth="1"/>
    <col min="778" max="1020" width="8.6640625" style="877"/>
    <col min="1021" max="1021" width="5.6640625" style="877" customWidth="1"/>
    <col min="1022" max="1022" width="13.33203125" style="877" customWidth="1"/>
    <col min="1023" max="1027" width="8.6640625" style="877"/>
    <col min="1028" max="1028" width="14.33203125" style="877" customWidth="1"/>
    <col min="1029" max="1029" width="7.5546875" style="877" customWidth="1"/>
    <col min="1030" max="1030" width="33.5546875" style="877" customWidth="1"/>
    <col min="1031" max="1032" width="8.6640625" style="877"/>
    <col min="1033" max="1033" width="11.88671875" style="877" customWidth="1"/>
    <col min="1034" max="1276" width="8.6640625" style="877"/>
    <col min="1277" max="1277" width="5.6640625" style="877" customWidth="1"/>
    <col min="1278" max="1278" width="13.33203125" style="877" customWidth="1"/>
    <col min="1279" max="1283" width="8.6640625" style="877"/>
    <col min="1284" max="1284" width="14.33203125" style="877" customWidth="1"/>
    <col min="1285" max="1285" width="7.5546875" style="877" customWidth="1"/>
    <col min="1286" max="1286" width="33.5546875" style="877" customWidth="1"/>
    <col min="1287" max="1288" width="8.6640625" style="877"/>
    <col min="1289" max="1289" width="11.88671875" style="877" customWidth="1"/>
    <col min="1290" max="1532" width="8.6640625" style="877"/>
    <col min="1533" max="1533" width="5.6640625" style="877" customWidth="1"/>
    <col min="1534" max="1534" width="13.33203125" style="877" customWidth="1"/>
    <col min="1535" max="1539" width="8.6640625" style="877"/>
    <col min="1540" max="1540" width="14.33203125" style="877" customWidth="1"/>
    <col min="1541" max="1541" width="7.5546875" style="877" customWidth="1"/>
    <col min="1542" max="1542" width="33.5546875" style="877" customWidth="1"/>
    <col min="1543" max="1544" width="8.6640625" style="877"/>
    <col min="1545" max="1545" width="11.88671875" style="877" customWidth="1"/>
    <col min="1546" max="1788" width="8.6640625" style="877"/>
    <col min="1789" max="1789" width="5.6640625" style="877" customWidth="1"/>
    <col min="1790" max="1790" width="13.33203125" style="877" customWidth="1"/>
    <col min="1791" max="1795" width="8.6640625" style="877"/>
    <col min="1796" max="1796" width="14.33203125" style="877" customWidth="1"/>
    <col min="1797" max="1797" width="7.5546875" style="877" customWidth="1"/>
    <col min="1798" max="1798" width="33.5546875" style="877" customWidth="1"/>
    <col min="1799" max="1800" width="8.6640625" style="877"/>
    <col min="1801" max="1801" width="11.88671875" style="877" customWidth="1"/>
    <col min="1802" max="2044" width="8.6640625" style="877"/>
    <col min="2045" max="2045" width="5.6640625" style="877" customWidth="1"/>
    <col min="2046" max="2046" width="13.33203125" style="877" customWidth="1"/>
    <col min="2047" max="2051" width="8.6640625" style="877"/>
    <col min="2052" max="2052" width="14.33203125" style="877" customWidth="1"/>
    <col min="2053" max="2053" width="7.5546875" style="877" customWidth="1"/>
    <col min="2054" max="2054" width="33.5546875" style="877" customWidth="1"/>
    <col min="2055" max="2056" width="8.6640625" style="877"/>
    <col min="2057" max="2057" width="11.88671875" style="877" customWidth="1"/>
    <col min="2058" max="2300" width="8.6640625" style="877"/>
    <col min="2301" max="2301" width="5.6640625" style="877" customWidth="1"/>
    <col min="2302" max="2302" width="13.33203125" style="877" customWidth="1"/>
    <col min="2303" max="2307" width="8.6640625" style="877"/>
    <col min="2308" max="2308" width="14.33203125" style="877" customWidth="1"/>
    <col min="2309" max="2309" width="7.5546875" style="877" customWidth="1"/>
    <col min="2310" max="2310" width="33.5546875" style="877" customWidth="1"/>
    <col min="2311" max="2312" width="8.6640625" style="877"/>
    <col min="2313" max="2313" width="11.88671875" style="877" customWidth="1"/>
    <col min="2314" max="2556" width="8.6640625" style="877"/>
    <col min="2557" max="2557" width="5.6640625" style="877" customWidth="1"/>
    <col min="2558" max="2558" width="13.33203125" style="877" customWidth="1"/>
    <col min="2559" max="2563" width="8.6640625" style="877"/>
    <col min="2564" max="2564" width="14.33203125" style="877" customWidth="1"/>
    <col min="2565" max="2565" width="7.5546875" style="877" customWidth="1"/>
    <col min="2566" max="2566" width="33.5546875" style="877" customWidth="1"/>
    <col min="2567" max="2568" width="8.6640625" style="877"/>
    <col min="2569" max="2569" width="11.88671875" style="877" customWidth="1"/>
    <col min="2570" max="2812" width="8.6640625" style="877"/>
    <col min="2813" max="2813" width="5.6640625" style="877" customWidth="1"/>
    <col min="2814" max="2814" width="13.33203125" style="877" customWidth="1"/>
    <col min="2815" max="2819" width="8.6640625" style="877"/>
    <col min="2820" max="2820" width="14.33203125" style="877" customWidth="1"/>
    <col min="2821" max="2821" width="7.5546875" style="877" customWidth="1"/>
    <col min="2822" max="2822" width="33.5546875" style="877" customWidth="1"/>
    <col min="2823" max="2824" width="8.6640625" style="877"/>
    <col min="2825" max="2825" width="11.88671875" style="877" customWidth="1"/>
    <col min="2826" max="3068" width="8.6640625" style="877"/>
    <col min="3069" max="3069" width="5.6640625" style="877" customWidth="1"/>
    <col min="3070" max="3070" width="13.33203125" style="877" customWidth="1"/>
    <col min="3071" max="3075" width="8.6640625" style="877"/>
    <col min="3076" max="3076" width="14.33203125" style="877" customWidth="1"/>
    <col min="3077" max="3077" width="7.5546875" style="877" customWidth="1"/>
    <col min="3078" max="3078" width="33.5546875" style="877" customWidth="1"/>
    <col min="3079" max="3080" width="8.6640625" style="877"/>
    <col min="3081" max="3081" width="11.88671875" style="877" customWidth="1"/>
    <col min="3082" max="3324" width="8.6640625" style="877"/>
    <col min="3325" max="3325" width="5.6640625" style="877" customWidth="1"/>
    <col min="3326" max="3326" width="13.33203125" style="877" customWidth="1"/>
    <col min="3327" max="3331" width="8.6640625" style="877"/>
    <col min="3332" max="3332" width="14.33203125" style="877" customWidth="1"/>
    <col min="3333" max="3333" width="7.5546875" style="877" customWidth="1"/>
    <col min="3334" max="3334" width="33.5546875" style="877" customWidth="1"/>
    <col min="3335" max="3336" width="8.6640625" style="877"/>
    <col min="3337" max="3337" width="11.88671875" style="877" customWidth="1"/>
    <col min="3338" max="3580" width="8.6640625" style="877"/>
    <col min="3581" max="3581" width="5.6640625" style="877" customWidth="1"/>
    <col min="3582" max="3582" width="13.33203125" style="877" customWidth="1"/>
    <col min="3583" max="3587" width="8.6640625" style="877"/>
    <col min="3588" max="3588" width="14.33203125" style="877" customWidth="1"/>
    <col min="3589" max="3589" width="7.5546875" style="877" customWidth="1"/>
    <col min="3590" max="3590" width="33.5546875" style="877" customWidth="1"/>
    <col min="3591" max="3592" width="8.6640625" style="877"/>
    <col min="3593" max="3593" width="11.88671875" style="877" customWidth="1"/>
    <col min="3594" max="3836" width="8.6640625" style="877"/>
    <col min="3837" max="3837" width="5.6640625" style="877" customWidth="1"/>
    <col min="3838" max="3838" width="13.33203125" style="877" customWidth="1"/>
    <col min="3839" max="3843" width="8.6640625" style="877"/>
    <col min="3844" max="3844" width="14.33203125" style="877" customWidth="1"/>
    <col min="3845" max="3845" width="7.5546875" style="877" customWidth="1"/>
    <col min="3846" max="3846" width="33.5546875" style="877" customWidth="1"/>
    <col min="3847" max="3848" width="8.6640625" style="877"/>
    <col min="3849" max="3849" width="11.88671875" style="877" customWidth="1"/>
    <col min="3850" max="4092" width="8.6640625" style="877"/>
    <col min="4093" max="4093" width="5.6640625" style="877" customWidth="1"/>
    <col min="4094" max="4094" width="13.33203125" style="877" customWidth="1"/>
    <col min="4095" max="4099" width="8.6640625" style="877"/>
    <col min="4100" max="4100" width="14.33203125" style="877" customWidth="1"/>
    <col min="4101" max="4101" width="7.5546875" style="877" customWidth="1"/>
    <col min="4102" max="4102" width="33.5546875" style="877" customWidth="1"/>
    <col min="4103" max="4104" width="8.6640625" style="877"/>
    <col min="4105" max="4105" width="11.88671875" style="877" customWidth="1"/>
    <col min="4106" max="4348" width="8.6640625" style="877"/>
    <col min="4349" max="4349" width="5.6640625" style="877" customWidth="1"/>
    <col min="4350" max="4350" width="13.33203125" style="877" customWidth="1"/>
    <col min="4351" max="4355" width="8.6640625" style="877"/>
    <col min="4356" max="4356" width="14.33203125" style="877" customWidth="1"/>
    <col min="4357" max="4357" width="7.5546875" style="877" customWidth="1"/>
    <col min="4358" max="4358" width="33.5546875" style="877" customWidth="1"/>
    <col min="4359" max="4360" width="8.6640625" style="877"/>
    <col min="4361" max="4361" width="11.88671875" style="877" customWidth="1"/>
    <col min="4362" max="4604" width="8.6640625" style="877"/>
    <col min="4605" max="4605" width="5.6640625" style="877" customWidth="1"/>
    <col min="4606" max="4606" width="13.33203125" style="877" customWidth="1"/>
    <col min="4607" max="4611" width="8.6640625" style="877"/>
    <col min="4612" max="4612" width="14.33203125" style="877" customWidth="1"/>
    <col min="4613" max="4613" width="7.5546875" style="877" customWidth="1"/>
    <col min="4614" max="4614" width="33.5546875" style="877" customWidth="1"/>
    <col min="4615" max="4616" width="8.6640625" style="877"/>
    <col min="4617" max="4617" width="11.88671875" style="877" customWidth="1"/>
    <col min="4618" max="4860" width="8.6640625" style="877"/>
    <col min="4861" max="4861" width="5.6640625" style="877" customWidth="1"/>
    <col min="4862" max="4862" width="13.33203125" style="877" customWidth="1"/>
    <col min="4863" max="4867" width="8.6640625" style="877"/>
    <col min="4868" max="4868" width="14.33203125" style="877" customWidth="1"/>
    <col min="4869" max="4869" width="7.5546875" style="877" customWidth="1"/>
    <col min="4870" max="4870" width="33.5546875" style="877" customWidth="1"/>
    <col min="4871" max="4872" width="8.6640625" style="877"/>
    <col min="4873" max="4873" width="11.88671875" style="877" customWidth="1"/>
    <col min="4874" max="5116" width="8.6640625" style="877"/>
    <col min="5117" max="5117" width="5.6640625" style="877" customWidth="1"/>
    <col min="5118" max="5118" width="13.33203125" style="877" customWidth="1"/>
    <col min="5119" max="5123" width="8.6640625" style="877"/>
    <col min="5124" max="5124" width="14.33203125" style="877" customWidth="1"/>
    <col min="5125" max="5125" width="7.5546875" style="877" customWidth="1"/>
    <col min="5126" max="5126" width="33.5546875" style="877" customWidth="1"/>
    <col min="5127" max="5128" width="8.6640625" style="877"/>
    <col min="5129" max="5129" width="11.88671875" style="877" customWidth="1"/>
    <col min="5130" max="5372" width="8.6640625" style="877"/>
    <col min="5373" max="5373" width="5.6640625" style="877" customWidth="1"/>
    <col min="5374" max="5374" width="13.33203125" style="877" customWidth="1"/>
    <col min="5375" max="5379" width="8.6640625" style="877"/>
    <col min="5380" max="5380" width="14.33203125" style="877" customWidth="1"/>
    <col min="5381" max="5381" width="7.5546875" style="877" customWidth="1"/>
    <col min="5382" max="5382" width="33.5546875" style="877" customWidth="1"/>
    <col min="5383" max="5384" width="8.6640625" style="877"/>
    <col min="5385" max="5385" width="11.88671875" style="877" customWidth="1"/>
    <col min="5386" max="5628" width="8.6640625" style="877"/>
    <col min="5629" max="5629" width="5.6640625" style="877" customWidth="1"/>
    <col min="5630" max="5630" width="13.33203125" style="877" customWidth="1"/>
    <col min="5631" max="5635" width="8.6640625" style="877"/>
    <col min="5636" max="5636" width="14.33203125" style="877" customWidth="1"/>
    <col min="5637" max="5637" width="7.5546875" style="877" customWidth="1"/>
    <col min="5638" max="5638" width="33.5546875" style="877" customWidth="1"/>
    <col min="5639" max="5640" width="8.6640625" style="877"/>
    <col min="5641" max="5641" width="11.88671875" style="877" customWidth="1"/>
    <col min="5642" max="5884" width="8.6640625" style="877"/>
    <col min="5885" max="5885" width="5.6640625" style="877" customWidth="1"/>
    <col min="5886" max="5886" width="13.33203125" style="877" customWidth="1"/>
    <col min="5887" max="5891" width="8.6640625" style="877"/>
    <col min="5892" max="5892" width="14.33203125" style="877" customWidth="1"/>
    <col min="5893" max="5893" width="7.5546875" style="877" customWidth="1"/>
    <col min="5894" max="5894" width="33.5546875" style="877" customWidth="1"/>
    <col min="5895" max="5896" width="8.6640625" style="877"/>
    <col min="5897" max="5897" width="11.88671875" style="877" customWidth="1"/>
    <col min="5898" max="6140" width="8.6640625" style="877"/>
    <col min="6141" max="6141" width="5.6640625" style="877" customWidth="1"/>
    <col min="6142" max="6142" width="13.33203125" style="877" customWidth="1"/>
    <col min="6143" max="6147" width="8.6640625" style="877"/>
    <col min="6148" max="6148" width="14.33203125" style="877" customWidth="1"/>
    <col min="6149" max="6149" width="7.5546875" style="877" customWidth="1"/>
    <col min="6150" max="6150" width="33.5546875" style="877" customWidth="1"/>
    <col min="6151" max="6152" width="8.6640625" style="877"/>
    <col min="6153" max="6153" width="11.88671875" style="877" customWidth="1"/>
    <col min="6154" max="6396" width="8.6640625" style="877"/>
    <col min="6397" max="6397" width="5.6640625" style="877" customWidth="1"/>
    <col min="6398" max="6398" width="13.33203125" style="877" customWidth="1"/>
    <col min="6399" max="6403" width="8.6640625" style="877"/>
    <col min="6404" max="6404" width="14.33203125" style="877" customWidth="1"/>
    <col min="6405" max="6405" width="7.5546875" style="877" customWidth="1"/>
    <col min="6406" max="6406" width="33.5546875" style="877" customWidth="1"/>
    <col min="6407" max="6408" width="8.6640625" style="877"/>
    <col min="6409" max="6409" width="11.88671875" style="877" customWidth="1"/>
    <col min="6410" max="6652" width="8.6640625" style="877"/>
    <col min="6653" max="6653" width="5.6640625" style="877" customWidth="1"/>
    <col min="6654" max="6654" width="13.33203125" style="877" customWidth="1"/>
    <col min="6655" max="6659" width="8.6640625" style="877"/>
    <col min="6660" max="6660" width="14.33203125" style="877" customWidth="1"/>
    <col min="6661" max="6661" width="7.5546875" style="877" customWidth="1"/>
    <col min="6662" max="6662" width="33.5546875" style="877" customWidth="1"/>
    <col min="6663" max="6664" width="8.6640625" style="877"/>
    <col min="6665" max="6665" width="11.88671875" style="877" customWidth="1"/>
    <col min="6666" max="6908" width="8.6640625" style="877"/>
    <col min="6909" max="6909" width="5.6640625" style="877" customWidth="1"/>
    <col min="6910" max="6910" width="13.33203125" style="877" customWidth="1"/>
    <col min="6911" max="6915" width="8.6640625" style="877"/>
    <col min="6916" max="6916" width="14.33203125" style="877" customWidth="1"/>
    <col min="6917" max="6917" width="7.5546875" style="877" customWidth="1"/>
    <col min="6918" max="6918" width="33.5546875" style="877" customWidth="1"/>
    <col min="6919" max="6920" width="8.6640625" style="877"/>
    <col min="6921" max="6921" width="11.88671875" style="877" customWidth="1"/>
    <col min="6922" max="7164" width="8.6640625" style="877"/>
    <col min="7165" max="7165" width="5.6640625" style="877" customWidth="1"/>
    <col min="7166" max="7166" width="13.33203125" style="877" customWidth="1"/>
    <col min="7167" max="7171" width="8.6640625" style="877"/>
    <col min="7172" max="7172" width="14.33203125" style="877" customWidth="1"/>
    <col min="7173" max="7173" width="7.5546875" style="877" customWidth="1"/>
    <col min="7174" max="7174" width="33.5546875" style="877" customWidth="1"/>
    <col min="7175" max="7176" width="8.6640625" style="877"/>
    <col min="7177" max="7177" width="11.88671875" style="877" customWidth="1"/>
    <col min="7178" max="7420" width="8.6640625" style="877"/>
    <col min="7421" max="7421" width="5.6640625" style="877" customWidth="1"/>
    <col min="7422" max="7422" width="13.33203125" style="877" customWidth="1"/>
    <col min="7423" max="7427" width="8.6640625" style="877"/>
    <col min="7428" max="7428" width="14.33203125" style="877" customWidth="1"/>
    <col min="7429" max="7429" width="7.5546875" style="877" customWidth="1"/>
    <col min="7430" max="7430" width="33.5546875" style="877" customWidth="1"/>
    <col min="7431" max="7432" width="8.6640625" style="877"/>
    <col min="7433" max="7433" width="11.88671875" style="877" customWidth="1"/>
    <col min="7434" max="7676" width="8.6640625" style="877"/>
    <col min="7677" max="7677" width="5.6640625" style="877" customWidth="1"/>
    <col min="7678" max="7678" width="13.33203125" style="877" customWidth="1"/>
    <col min="7679" max="7683" width="8.6640625" style="877"/>
    <col min="7684" max="7684" width="14.33203125" style="877" customWidth="1"/>
    <col min="7685" max="7685" width="7.5546875" style="877" customWidth="1"/>
    <col min="7686" max="7686" width="33.5546875" style="877" customWidth="1"/>
    <col min="7687" max="7688" width="8.6640625" style="877"/>
    <col min="7689" max="7689" width="11.88671875" style="877" customWidth="1"/>
    <col min="7690" max="7932" width="8.6640625" style="877"/>
    <col min="7933" max="7933" width="5.6640625" style="877" customWidth="1"/>
    <col min="7934" max="7934" width="13.33203125" style="877" customWidth="1"/>
    <col min="7935" max="7939" width="8.6640625" style="877"/>
    <col min="7940" max="7940" width="14.33203125" style="877" customWidth="1"/>
    <col min="7941" max="7941" width="7.5546875" style="877" customWidth="1"/>
    <col min="7942" max="7942" width="33.5546875" style="877" customWidth="1"/>
    <col min="7943" max="7944" width="8.6640625" style="877"/>
    <col min="7945" max="7945" width="11.88671875" style="877" customWidth="1"/>
    <col min="7946" max="8188" width="8.6640625" style="877"/>
    <col min="8189" max="8189" width="5.6640625" style="877" customWidth="1"/>
    <col min="8190" max="8190" width="13.33203125" style="877" customWidth="1"/>
    <col min="8191" max="8195" width="8.6640625" style="877"/>
    <col min="8196" max="8196" width="14.33203125" style="877" customWidth="1"/>
    <col min="8197" max="8197" width="7.5546875" style="877" customWidth="1"/>
    <col min="8198" max="8198" width="33.5546875" style="877" customWidth="1"/>
    <col min="8199" max="8200" width="8.6640625" style="877"/>
    <col min="8201" max="8201" width="11.88671875" style="877" customWidth="1"/>
    <col min="8202" max="8444" width="8.6640625" style="877"/>
    <col min="8445" max="8445" width="5.6640625" style="877" customWidth="1"/>
    <col min="8446" max="8446" width="13.33203125" style="877" customWidth="1"/>
    <col min="8447" max="8451" width="8.6640625" style="877"/>
    <col min="8452" max="8452" width="14.33203125" style="877" customWidth="1"/>
    <col min="8453" max="8453" width="7.5546875" style="877" customWidth="1"/>
    <col min="8454" max="8454" width="33.5546875" style="877" customWidth="1"/>
    <col min="8455" max="8456" width="8.6640625" style="877"/>
    <col min="8457" max="8457" width="11.88671875" style="877" customWidth="1"/>
    <col min="8458" max="8700" width="8.6640625" style="877"/>
    <col min="8701" max="8701" width="5.6640625" style="877" customWidth="1"/>
    <col min="8702" max="8702" width="13.33203125" style="877" customWidth="1"/>
    <col min="8703" max="8707" width="8.6640625" style="877"/>
    <col min="8708" max="8708" width="14.33203125" style="877" customWidth="1"/>
    <col min="8709" max="8709" width="7.5546875" style="877" customWidth="1"/>
    <col min="8710" max="8710" width="33.5546875" style="877" customWidth="1"/>
    <col min="8711" max="8712" width="8.6640625" style="877"/>
    <col min="8713" max="8713" width="11.88671875" style="877" customWidth="1"/>
    <col min="8714" max="8956" width="8.6640625" style="877"/>
    <col min="8957" max="8957" width="5.6640625" style="877" customWidth="1"/>
    <col min="8958" max="8958" width="13.33203125" style="877" customWidth="1"/>
    <col min="8959" max="8963" width="8.6640625" style="877"/>
    <col min="8964" max="8964" width="14.33203125" style="877" customWidth="1"/>
    <col min="8965" max="8965" width="7.5546875" style="877" customWidth="1"/>
    <col min="8966" max="8966" width="33.5546875" style="877" customWidth="1"/>
    <col min="8967" max="8968" width="8.6640625" style="877"/>
    <col min="8969" max="8969" width="11.88671875" style="877" customWidth="1"/>
    <col min="8970" max="9212" width="8.6640625" style="877"/>
    <col min="9213" max="9213" width="5.6640625" style="877" customWidth="1"/>
    <col min="9214" max="9214" width="13.33203125" style="877" customWidth="1"/>
    <col min="9215" max="9219" width="8.6640625" style="877"/>
    <col min="9220" max="9220" width="14.33203125" style="877" customWidth="1"/>
    <col min="9221" max="9221" width="7.5546875" style="877" customWidth="1"/>
    <col min="9222" max="9222" width="33.5546875" style="877" customWidth="1"/>
    <col min="9223" max="9224" width="8.6640625" style="877"/>
    <col min="9225" max="9225" width="11.88671875" style="877" customWidth="1"/>
    <col min="9226" max="9468" width="8.6640625" style="877"/>
    <col min="9469" max="9469" width="5.6640625" style="877" customWidth="1"/>
    <col min="9470" max="9470" width="13.33203125" style="877" customWidth="1"/>
    <col min="9471" max="9475" width="8.6640625" style="877"/>
    <col min="9476" max="9476" width="14.33203125" style="877" customWidth="1"/>
    <col min="9477" max="9477" width="7.5546875" style="877" customWidth="1"/>
    <col min="9478" max="9478" width="33.5546875" style="877" customWidth="1"/>
    <col min="9479" max="9480" width="8.6640625" style="877"/>
    <col min="9481" max="9481" width="11.88671875" style="877" customWidth="1"/>
    <col min="9482" max="9724" width="8.6640625" style="877"/>
    <col min="9725" max="9725" width="5.6640625" style="877" customWidth="1"/>
    <col min="9726" max="9726" width="13.33203125" style="877" customWidth="1"/>
    <col min="9727" max="9731" width="8.6640625" style="877"/>
    <col min="9732" max="9732" width="14.33203125" style="877" customWidth="1"/>
    <col min="9733" max="9733" width="7.5546875" style="877" customWidth="1"/>
    <col min="9734" max="9734" width="33.5546875" style="877" customWidth="1"/>
    <col min="9735" max="9736" width="8.6640625" style="877"/>
    <col min="9737" max="9737" width="11.88671875" style="877" customWidth="1"/>
    <col min="9738" max="9980" width="8.6640625" style="877"/>
    <col min="9981" max="9981" width="5.6640625" style="877" customWidth="1"/>
    <col min="9982" max="9982" width="13.33203125" style="877" customWidth="1"/>
    <col min="9983" max="9987" width="8.6640625" style="877"/>
    <col min="9988" max="9988" width="14.33203125" style="877" customWidth="1"/>
    <col min="9989" max="9989" width="7.5546875" style="877" customWidth="1"/>
    <col min="9990" max="9990" width="33.5546875" style="877" customWidth="1"/>
    <col min="9991" max="9992" width="8.6640625" style="877"/>
    <col min="9993" max="9993" width="11.88671875" style="877" customWidth="1"/>
    <col min="9994" max="10236" width="8.6640625" style="877"/>
    <col min="10237" max="10237" width="5.6640625" style="877" customWidth="1"/>
    <col min="10238" max="10238" width="13.33203125" style="877" customWidth="1"/>
    <col min="10239" max="10243" width="8.6640625" style="877"/>
    <col min="10244" max="10244" width="14.33203125" style="877" customWidth="1"/>
    <col min="10245" max="10245" width="7.5546875" style="877" customWidth="1"/>
    <col min="10246" max="10246" width="33.5546875" style="877" customWidth="1"/>
    <col min="10247" max="10248" width="8.6640625" style="877"/>
    <col min="10249" max="10249" width="11.88671875" style="877" customWidth="1"/>
    <col min="10250" max="10492" width="8.6640625" style="877"/>
    <col min="10493" max="10493" width="5.6640625" style="877" customWidth="1"/>
    <col min="10494" max="10494" width="13.33203125" style="877" customWidth="1"/>
    <col min="10495" max="10499" width="8.6640625" style="877"/>
    <col min="10500" max="10500" width="14.33203125" style="877" customWidth="1"/>
    <col min="10501" max="10501" width="7.5546875" style="877" customWidth="1"/>
    <col min="10502" max="10502" width="33.5546875" style="877" customWidth="1"/>
    <col min="10503" max="10504" width="8.6640625" style="877"/>
    <col min="10505" max="10505" width="11.88671875" style="877" customWidth="1"/>
    <col min="10506" max="10748" width="8.6640625" style="877"/>
    <col min="10749" max="10749" width="5.6640625" style="877" customWidth="1"/>
    <col min="10750" max="10750" width="13.33203125" style="877" customWidth="1"/>
    <col min="10751" max="10755" width="8.6640625" style="877"/>
    <col min="10756" max="10756" width="14.33203125" style="877" customWidth="1"/>
    <col min="10757" max="10757" width="7.5546875" style="877" customWidth="1"/>
    <col min="10758" max="10758" width="33.5546875" style="877" customWidth="1"/>
    <col min="10759" max="10760" width="8.6640625" style="877"/>
    <col min="10761" max="10761" width="11.88671875" style="877" customWidth="1"/>
    <col min="10762" max="11004" width="8.6640625" style="877"/>
    <col min="11005" max="11005" width="5.6640625" style="877" customWidth="1"/>
    <col min="11006" max="11006" width="13.33203125" style="877" customWidth="1"/>
    <col min="11007" max="11011" width="8.6640625" style="877"/>
    <col min="11012" max="11012" width="14.33203125" style="877" customWidth="1"/>
    <col min="11013" max="11013" width="7.5546875" style="877" customWidth="1"/>
    <col min="11014" max="11014" width="33.5546875" style="877" customWidth="1"/>
    <col min="11015" max="11016" width="8.6640625" style="877"/>
    <col min="11017" max="11017" width="11.88671875" style="877" customWidth="1"/>
    <col min="11018" max="11260" width="8.6640625" style="877"/>
    <col min="11261" max="11261" width="5.6640625" style="877" customWidth="1"/>
    <col min="11262" max="11262" width="13.33203125" style="877" customWidth="1"/>
    <col min="11263" max="11267" width="8.6640625" style="877"/>
    <col min="11268" max="11268" width="14.33203125" style="877" customWidth="1"/>
    <col min="11269" max="11269" width="7.5546875" style="877" customWidth="1"/>
    <col min="11270" max="11270" width="33.5546875" style="877" customWidth="1"/>
    <col min="11271" max="11272" width="8.6640625" style="877"/>
    <col min="11273" max="11273" width="11.88671875" style="877" customWidth="1"/>
    <col min="11274" max="11516" width="8.6640625" style="877"/>
    <col min="11517" max="11517" width="5.6640625" style="877" customWidth="1"/>
    <col min="11518" max="11518" width="13.33203125" style="877" customWidth="1"/>
    <col min="11519" max="11523" width="8.6640625" style="877"/>
    <col min="11524" max="11524" width="14.33203125" style="877" customWidth="1"/>
    <col min="11525" max="11525" width="7.5546875" style="877" customWidth="1"/>
    <col min="11526" max="11526" width="33.5546875" style="877" customWidth="1"/>
    <col min="11527" max="11528" width="8.6640625" style="877"/>
    <col min="11529" max="11529" width="11.88671875" style="877" customWidth="1"/>
    <col min="11530" max="11772" width="8.6640625" style="877"/>
    <col min="11773" max="11773" width="5.6640625" style="877" customWidth="1"/>
    <col min="11774" max="11774" width="13.33203125" style="877" customWidth="1"/>
    <col min="11775" max="11779" width="8.6640625" style="877"/>
    <col min="11780" max="11780" width="14.33203125" style="877" customWidth="1"/>
    <col min="11781" max="11781" width="7.5546875" style="877" customWidth="1"/>
    <col min="11782" max="11782" width="33.5546875" style="877" customWidth="1"/>
    <col min="11783" max="11784" width="8.6640625" style="877"/>
    <col min="11785" max="11785" width="11.88671875" style="877" customWidth="1"/>
    <col min="11786" max="12028" width="8.6640625" style="877"/>
    <col min="12029" max="12029" width="5.6640625" style="877" customWidth="1"/>
    <col min="12030" max="12030" width="13.33203125" style="877" customWidth="1"/>
    <col min="12031" max="12035" width="8.6640625" style="877"/>
    <col min="12036" max="12036" width="14.33203125" style="877" customWidth="1"/>
    <col min="12037" max="12037" width="7.5546875" style="877" customWidth="1"/>
    <col min="12038" max="12038" width="33.5546875" style="877" customWidth="1"/>
    <col min="12039" max="12040" width="8.6640625" style="877"/>
    <col min="12041" max="12041" width="11.88671875" style="877" customWidth="1"/>
    <col min="12042" max="12284" width="8.6640625" style="877"/>
    <col min="12285" max="12285" width="5.6640625" style="877" customWidth="1"/>
    <col min="12286" max="12286" width="13.33203125" style="877" customWidth="1"/>
    <col min="12287" max="12291" width="8.6640625" style="877"/>
    <col min="12292" max="12292" width="14.33203125" style="877" customWidth="1"/>
    <col min="12293" max="12293" width="7.5546875" style="877" customWidth="1"/>
    <col min="12294" max="12294" width="33.5546875" style="877" customWidth="1"/>
    <col min="12295" max="12296" width="8.6640625" style="877"/>
    <col min="12297" max="12297" width="11.88671875" style="877" customWidth="1"/>
    <col min="12298" max="12540" width="8.6640625" style="877"/>
    <col min="12541" max="12541" width="5.6640625" style="877" customWidth="1"/>
    <col min="12542" max="12542" width="13.33203125" style="877" customWidth="1"/>
    <col min="12543" max="12547" width="8.6640625" style="877"/>
    <col min="12548" max="12548" width="14.33203125" style="877" customWidth="1"/>
    <col min="12549" max="12549" width="7.5546875" style="877" customWidth="1"/>
    <col min="12550" max="12550" width="33.5546875" style="877" customWidth="1"/>
    <col min="12551" max="12552" width="8.6640625" style="877"/>
    <col min="12553" max="12553" width="11.88671875" style="877" customWidth="1"/>
    <col min="12554" max="12796" width="8.6640625" style="877"/>
    <col min="12797" max="12797" width="5.6640625" style="877" customWidth="1"/>
    <col min="12798" max="12798" width="13.33203125" style="877" customWidth="1"/>
    <col min="12799" max="12803" width="8.6640625" style="877"/>
    <col min="12804" max="12804" width="14.33203125" style="877" customWidth="1"/>
    <col min="12805" max="12805" width="7.5546875" style="877" customWidth="1"/>
    <col min="12806" max="12806" width="33.5546875" style="877" customWidth="1"/>
    <col min="12807" max="12808" width="8.6640625" style="877"/>
    <col min="12809" max="12809" width="11.88671875" style="877" customWidth="1"/>
    <col min="12810" max="13052" width="8.6640625" style="877"/>
    <col min="13053" max="13053" width="5.6640625" style="877" customWidth="1"/>
    <col min="13054" max="13054" width="13.33203125" style="877" customWidth="1"/>
    <col min="13055" max="13059" width="8.6640625" style="877"/>
    <col min="13060" max="13060" width="14.33203125" style="877" customWidth="1"/>
    <col min="13061" max="13061" width="7.5546875" style="877" customWidth="1"/>
    <col min="13062" max="13062" width="33.5546875" style="877" customWidth="1"/>
    <col min="13063" max="13064" width="8.6640625" style="877"/>
    <col min="13065" max="13065" width="11.88671875" style="877" customWidth="1"/>
    <col min="13066" max="13308" width="8.6640625" style="877"/>
    <col min="13309" max="13309" width="5.6640625" style="877" customWidth="1"/>
    <col min="13310" max="13310" width="13.33203125" style="877" customWidth="1"/>
    <col min="13311" max="13315" width="8.6640625" style="877"/>
    <col min="13316" max="13316" width="14.33203125" style="877" customWidth="1"/>
    <col min="13317" max="13317" width="7.5546875" style="877" customWidth="1"/>
    <col min="13318" max="13318" width="33.5546875" style="877" customWidth="1"/>
    <col min="13319" max="13320" width="8.6640625" style="877"/>
    <col min="13321" max="13321" width="11.88671875" style="877" customWidth="1"/>
    <col min="13322" max="13564" width="8.6640625" style="877"/>
    <col min="13565" max="13565" width="5.6640625" style="877" customWidth="1"/>
    <col min="13566" max="13566" width="13.33203125" style="877" customWidth="1"/>
    <col min="13567" max="13571" width="8.6640625" style="877"/>
    <col min="13572" max="13572" width="14.33203125" style="877" customWidth="1"/>
    <col min="13573" max="13573" width="7.5546875" style="877" customWidth="1"/>
    <col min="13574" max="13574" width="33.5546875" style="877" customWidth="1"/>
    <col min="13575" max="13576" width="8.6640625" style="877"/>
    <col min="13577" max="13577" width="11.88671875" style="877" customWidth="1"/>
    <col min="13578" max="13820" width="8.6640625" style="877"/>
    <col min="13821" max="13821" width="5.6640625" style="877" customWidth="1"/>
    <col min="13822" max="13822" width="13.33203125" style="877" customWidth="1"/>
    <col min="13823" max="13827" width="8.6640625" style="877"/>
    <col min="13828" max="13828" width="14.33203125" style="877" customWidth="1"/>
    <col min="13829" max="13829" width="7.5546875" style="877" customWidth="1"/>
    <col min="13830" max="13830" width="33.5546875" style="877" customWidth="1"/>
    <col min="13831" max="13832" width="8.6640625" style="877"/>
    <col min="13833" max="13833" width="11.88671875" style="877" customWidth="1"/>
    <col min="13834" max="14076" width="8.6640625" style="877"/>
    <col min="14077" max="14077" width="5.6640625" style="877" customWidth="1"/>
    <col min="14078" max="14078" width="13.33203125" style="877" customWidth="1"/>
    <col min="14079" max="14083" width="8.6640625" style="877"/>
    <col min="14084" max="14084" width="14.33203125" style="877" customWidth="1"/>
    <col min="14085" max="14085" width="7.5546875" style="877" customWidth="1"/>
    <col min="14086" max="14086" width="33.5546875" style="877" customWidth="1"/>
    <col min="14087" max="14088" width="8.6640625" style="877"/>
    <col min="14089" max="14089" width="11.88671875" style="877" customWidth="1"/>
    <col min="14090" max="14332" width="8.6640625" style="877"/>
    <col min="14333" max="14333" width="5.6640625" style="877" customWidth="1"/>
    <col min="14334" max="14334" width="13.33203125" style="877" customWidth="1"/>
    <col min="14335" max="14339" width="8.6640625" style="877"/>
    <col min="14340" max="14340" width="14.33203125" style="877" customWidth="1"/>
    <col min="14341" max="14341" width="7.5546875" style="877" customWidth="1"/>
    <col min="14342" max="14342" width="33.5546875" style="877" customWidth="1"/>
    <col min="14343" max="14344" width="8.6640625" style="877"/>
    <col min="14345" max="14345" width="11.88671875" style="877" customWidth="1"/>
    <col min="14346" max="14588" width="8.6640625" style="877"/>
    <col min="14589" max="14589" width="5.6640625" style="877" customWidth="1"/>
    <col min="14590" max="14590" width="13.33203125" style="877" customWidth="1"/>
    <col min="14591" max="14595" width="8.6640625" style="877"/>
    <col min="14596" max="14596" width="14.33203125" style="877" customWidth="1"/>
    <col min="14597" max="14597" width="7.5546875" style="877" customWidth="1"/>
    <col min="14598" max="14598" width="33.5546875" style="877" customWidth="1"/>
    <col min="14599" max="14600" width="8.6640625" style="877"/>
    <col min="14601" max="14601" width="11.88671875" style="877" customWidth="1"/>
    <col min="14602" max="14844" width="8.6640625" style="877"/>
    <col min="14845" max="14845" width="5.6640625" style="877" customWidth="1"/>
    <col min="14846" max="14846" width="13.33203125" style="877" customWidth="1"/>
    <col min="14847" max="14851" width="8.6640625" style="877"/>
    <col min="14852" max="14852" width="14.33203125" style="877" customWidth="1"/>
    <col min="14853" max="14853" width="7.5546875" style="877" customWidth="1"/>
    <col min="14854" max="14854" width="33.5546875" style="877" customWidth="1"/>
    <col min="14855" max="14856" width="8.6640625" style="877"/>
    <col min="14857" max="14857" width="11.88671875" style="877" customWidth="1"/>
    <col min="14858" max="15100" width="8.6640625" style="877"/>
    <col min="15101" max="15101" width="5.6640625" style="877" customWidth="1"/>
    <col min="15102" max="15102" width="13.33203125" style="877" customWidth="1"/>
    <col min="15103" max="15107" width="8.6640625" style="877"/>
    <col min="15108" max="15108" width="14.33203125" style="877" customWidth="1"/>
    <col min="15109" max="15109" width="7.5546875" style="877" customWidth="1"/>
    <col min="15110" max="15110" width="33.5546875" style="877" customWidth="1"/>
    <col min="15111" max="15112" width="8.6640625" style="877"/>
    <col min="15113" max="15113" width="11.88671875" style="877" customWidth="1"/>
    <col min="15114" max="15356" width="8.6640625" style="877"/>
    <col min="15357" max="15357" width="5.6640625" style="877" customWidth="1"/>
    <col min="15358" max="15358" width="13.33203125" style="877" customWidth="1"/>
    <col min="15359" max="15363" width="8.6640625" style="877"/>
    <col min="15364" max="15364" width="14.33203125" style="877" customWidth="1"/>
    <col min="15365" max="15365" width="7.5546875" style="877" customWidth="1"/>
    <col min="15366" max="15366" width="33.5546875" style="877" customWidth="1"/>
    <col min="15367" max="15368" width="8.6640625" style="877"/>
    <col min="15369" max="15369" width="11.88671875" style="877" customWidth="1"/>
    <col min="15370" max="15612" width="8.6640625" style="877"/>
    <col min="15613" max="15613" width="5.6640625" style="877" customWidth="1"/>
    <col min="15614" max="15614" width="13.33203125" style="877" customWidth="1"/>
    <col min="15615" max="15619" width="8.6640625" style="877"/>
    <col min="15620" max="15620" width="14.33203125" style="877" customWidth="1"/>
    <col min="15621" max="15621" width="7.5546875" style="877" customWidth="1"/>
    <col min="15622" max="15622" width="33.5546875" style="877" customWidth="1"/>
    <col min="15623" max="15624" width="8.6640625" style="877"/>
    <col min="15625" max="15625" width="11.88671875" style="877" customWidth="1"/>
    <col min="15626" max="15868" width="8.6640625" style="877"/>
    <col min="15869" max="15869" width="5.6640625" style="877" customWidth="1"/>
    <col min="15870" max="15870" width="13.33203125" style="877" customWidth="1"/>
    <col min="15871" max="15875" width="8.6640625" style="877"/>
    <col min="15876" max="15876" width="14.33203125" style="877" customWidth="1"/>
    <col min="15877" max="15877" width="7.5546875" style="877" customWidth="1"/>
    <col min="15878" max="15878" width="33.5546875" style="877" customWidth="1"/>
    <col min="15879" max="15880" width="8.6640625" style="877"/>
    <col min="15881" max="15881" width="11.88671875" style="877" customWidth="1"/>
    <col min="15882" max="16124" width="8.6640625" style="877"/>
    <col min="16125" max="16125" width="5.6640625" style="877" customWidth="1"/>
    <col min="16126" max="16126" width="13.33203125" style="877" customWidth="1"/>
    <col min="16127" max="16131" width="8.6640625" style="877"/>
    <col min="16132" max="16132" width="14.33203125" style="877" customWidth="1"/>
    <col min="16133" max="16133" width="7.5546875" style="877" customWidth="1"/>
    <col min="16134" max="16134" width="33.5546875" style="877" customWidth="1"/>
    <col min="16135" max="16136" width="8.6640625" style="877"/>
    <col min="16137" max="16137" width="11.88671875" style="877" customWidth="1"/>
    <col min="16138" max="16378" width="8.6640625" style="877"/>
    <col min="16379" max="16384" width="8.6640625" style="877" customWidth="1"/>
  </cols>
  <sheetData>
    <row r="1" spans="1:11" ht="14.25" customHeight="1">
      <c r="B1" s="878" t="s">
        <v>4</v>
      </c>
      <c r="D1" s="879" t="s">
        <v>552</v>
      </c>
      <c r="E1" s="880"/>
      <c r="F1" s="880"/>
      <c r="G1" s="880"/>
      <c r="H1" s="880"/>
      <c r="I1" s="880"/>
      <c r="J1" s="880"/>
      <c r="K1" s="880"/>
    </row>
    <row r="2" spans="1:11" ht="14.25" customHeight="1">
      <c r="B2" s="878" t="s">
        <v>1482</v>
      </c>
      <c r="D2" s="881" t="s">
        <v>553</v>
      </c>
      <c r="E2" s="882"/>
      <c r="F2" s="883"/>
    </row>
    <row r="3" spans="1:11" ht="14.25" customHeight="1">
      <c r="B3" s="878" t="s">
        <v>1483</v>
      </c>
      <c r="D3" s="884" t="s">
        <v>554</v>
      </c>
      <c r="E3" s="882"/>
    </row>
    <row r="4" spans="1:11" ht="14.25" customHeight="1">
      <c r="B4" s="878" t="s">
        <v>1527</v>
      </c>
      <c r="D4" s="885" t="s">
        <v>488</v>
      </c>
      <c r="E4" s="882"/>
    </row>
    <row r="5" spans="1:11" ht="14.25" customHeight="1">
      <c r="B5" s="878"/>
      <c r="D5" s="886" t="s">
        <v>1484</v>
      </c>
      <c r="E5" s="882"/>
    </row>
    <row r="6" spans="1:11" ht="14.25" customHeight="1">
      <c r="B6" s="882"/>
      <c r="C6" s="882"/>
      <c r="D6" s="887"/>
      <c r="E6" s="882"/>
    </row>
    <row r="7" spans="1:11" ht="14.25" customHeight="1">
      <c r="A7" s="877">
        <v>1</v>
      </c>
      <c r="B7" s="888" t="s">
        <v>1485</v>
      </c>
    </row>
    <row r="8" spans="1:11" ht="14.25" customHeight="1" thickBot="1">
      <c r="C8" s="877" t="s">
        <v>1486</v>
      </c>
      <c r="D8" s="889">
        <f>'Rev Exp'!J58</f>
        <v>281117.24</v>
      </c>
      <c r="E8" s="890" t="s">
        <v>1447</v>
      </c>
      <c r="F8" s="877" t="s">
        <v>1487</v>
      </c>
    </row>
    <row r="9" spans="1:11" ht="14.25" customHeight="1" thickTop="1"/>
    <row r="10" spans="1:11" ht="14.25" customHeight="1">
      <c r="A10" s="877">
        <f>A7+1</f>
        <v>2</v>
      </c>
      <c r="B10" s="877" t="s">
        <v>162</v>
      </c>
    </row>
    <row r="11" spans="1:11" ht="14.25" customHeight="1" thickBot="1">
      <c r="C11" s="877" t="s">
        <v>1488</v>
      </c>
      <c r="D11" s="889">
        <f>'Rev Exp'!J133</f>
        <v>17445062.362369001</v>
      </c>
      <c r="E11" s="890" t="s">
        <v>1450</v>
      </c>
      <c r="F11" s="877" t="s">
        <v>1487</v>
      </c>
    </row>
    <row r="12" spans="1:11" ht="14.25" customHeight="1" thickTop="1"/>
    <row r="13" spans="1:11" ht="14.25" customHeight="1">
      <c r="A13" s="877">
        <f>A10+1</f>
        <v>3</v>
      </c>
      <c r="B13" s="877" t="s">
        <v>1489</v>
      </c>
    </row>
    <row r="14" spans="1:11" ht="14.25" customHeight="1" thickBot="1">
      <c r="C14" s="877" t="s">
        <v>1490</v>
      </c>
      <c r="D14" s="889">
        <f>SUM('Rev Exp'!J146:J147)</f>
        <v>383898.77740747575</v>
      </c>
      <c r="E14" s="890" t="s">
        <v>1452</v>
      </c>
      <c r="F14" s="877" t="s">
        <v>1487</v>
      </c>
    </row>
    <row r="15" spans="1:11" ht="14.25" customHeight="1" thickTop="1"/>
    <row r="16" spans="1:11" ht="14.25" customHeight="1">
      <c r="A16" s="877">
        <f>A13+1</f>
        <v>4</v>
      </c>
      <c r="B16" s="877" t="s">
        <v>1448</v>
      </c>
    </row>
    <row r="17" spans="1:6" ht="14.25" customHeight="1" thickBot="1">
      <c r="C17" s="877" t="s">
        <v>1491</v>
      </c>
      <c r="D17" s="891">
        <v>7537087.3136323923</v>
      </c>
      <c r="E17" s="890" t="s">
        <v>1454</v>
      </c>
      <c r="F17" s="877" t="s">
        <v>1492</v>
      </c>
    </row>
    <row r="18" spans="1:6" ht="14.25" customHeight="1" thickTop="1">
      <c r="C18" s="892"/>
      <c r="D18" s="893"/>
    </row>
    <row r="19" spans="1:6" ht="14.25" customHeight="1">
      <c r="A19" s="877">
        <f>A16+1</f>
        <v>5</v>
      </c>
      <c r="B19" s="877" t="s">
        <v>1451</v>
      </c>
    </row>
    <row r="20" spans="1:6" ht="14.25" customHeight="1" thickBot="1">
      <c r="C20" s="877" t="s">
        <v>1493</v>
      </c>
      <c r="D20" s="891">
        <v>364968.63199999998</v>
      </c>
      <c r="E20" s="890" t="s">
        <v>1457</v>
      </c>
      <c r="F20" s="877" t="s">
        <v>1494</v>
      </c>
    </row>
    <row r="21" spans="1:6" ht="14.25" customHeight="1" thickTop="1"/>
    <row r="22" spans="1:6" ht="14.25" customHeight="1">
      <c r="A22" s="877">
        <f>A19+1</f>
        <v>6</v>
      </c>
      <c r="B22" s="877" t="s">
        <v>1765</v>
      </c>
    </row>
    <row r="23" spans="1:6" ht="14.25" customHeight="1">
      <c r="C23" s="877" t="s">
        <v>1778</v>
      </c>
      <c r="D23" s="894">
        <f>+'Rev Exp'!H25+'Rev Exp'!H24</f>
        <v>59994739.449999996</v>
      </c>
      <c r="F23" s="877" t="s">
        <v>1779</v>
      </c>
    </row>
    <row r="24" spans="1:6" ht="14.25" customHeight="1">
      <c r="C24" s="877" t="s">
        <v>1495</v>
      </c>
      <c r="D24" s="895">
        <v>-5202.9199999999983</v>
      </c>
      <c r="F24" s="877" t="s">
        <v>1496</v>
      </c>
    </row>
    <row r="25" spans="1:6" ht="14.25" customHeight="1" thickBot="1">
      <c r="D25" s="896">
        <f>SUM(D23:D24)</f>
        <v>59989536.529999994</v>
      </c>
      <c r="E25" s="890" t="s">
        <v>1459</v>
      </c>
    </row>
    <row r="26" spans="1:6" ht="14.25" customHeight="1" thickTop="1">
      <c r="E26" s="890"/>
    </row>
    <row r="27" spans="1:6" ht="14.25" customHeight="1">
      <c r="A27" s="877">
        <f>A22+1</f>
        <v>7</v>
      </c>
      <c r="B27" s="877" t="s">
        <v>1497</v>
      </c>
      <c r="E27" s="890"/>
    </row>
    <row r="28" spans="1:6" ht="14.25" customHeight="1">
      <c r="C28" s="877" t="s">
        <v>200</v>
      </c>
      <c r="D28" s="894">
        <f>'Rev Exp'!J34</f>
        <v>211536.3940148133</v>
      </c>
      <c r="F28" s="877" t="s">
        <v>1487</v>
      </c>
    </row>
    <row r="29" spans="1:6" ht="14.25" customHeight="1">
      <c r="C29" s="877" t="s">
        <v>1498</v>
      </c>
      <c r="D29" s="894">
        <f>+'Rev Exp'!J52</f>
        <v>9568908.7929271311</v>
      </c>
      <c r="F29" s="877" t="s">
        <v>1487</v>
      </c>
    </row>
    <row r="30" spans="1:6" ht="14.25" customHeight="1">
      <c r="C30" s="877" t="s">
        <v>1495</v>
      </c>
      <c r="D30" s="897">
        <v>-1449726.25</v>
      </c>
      <c r="F30" s="877" t="s">
        <v>1496</v>
      </c>
    </row>
    <row r="31" spans="1:6" ht="14.25" customHeight="1">
      <c r="C31" s="877" t="s">
        <v>1499</v>
      </c>
      <c r="D31" s="897">
        <v>-4722502.3499999996</v>
      </c>
      <c r="F31" s="877" t="s">
        <v>1500</v>
      </c>
    </row>
    <row r="32" spans="1:6" ht="14.25" customHeight="1">
      <c r="C32" s="877" t="s">
        <v>1501</v>
      </c>
      <c r="D32" s="897">
        <v>-154824.10000000003</v>
      </c>
      <c r="F32" s="877" t="s">
        <v>1502</v>
      </c>
    </row>
    <row r="33" spans="1:6" ht="14.25" customHeight="1">
      <c r="C33" s="877" t="s">
        <v>1503</v>
      </c>
      <c r="D33" s="894">
        <v>0</v>
      </c>
      <c r="F33" s="877" t="s">
        <v>1487</v>
      </c>
    </row>
    <row r="34" spans="1:6" ht="14.25" customHeight="1" thickBot="1">
      <c r="D34" s="896">
        <f>SUM(D28:D33)</f>
        <v>3453392.4869419443</v>
      </c>
      <c r="E34" s="890" t="s">
        <v>1461</v>
      </c>
    </row>
    <row r="35" spans="1:6" ht="14.25" customHeight="1" thickTop="1"/>
    <row r="36" spans="1:6" ht="14.25" customHeight="1">
      <c r="A36" s="877">
        <f>A27+1</f>
        <v>8</v>
      </c>
      <c r="B36" s="877" t="s">
        <v>248</v>
      </c>
    </row>
    <row r="37" spans="1:6" ht="14.25" customHeight="1">
      <c r="C37" s="877" t="s">
        <v>1504</v>
      </c>
      <c r="D37" s="894">
        <f>'Rev Exp'!J69</f>
        <v>2114640.4566869335</v>
      </c>
      <c r="F37" s="877" t="s">
        <v>1487</v>
      </c>
    </row>
    <row r="38" spans="1:6" ht="14.25" customHeight="1">
      <c r="C38" s="877" t="s">
        <v>1505</v>
      </c>
      <c r="D38" s="894">
        <v>22971.15</v>
      </c>
      <c r="F38" s="877" t="s">
        <v>1506</v>
      </c>
    </row>
    <row r="39" spans="1:6" ht="14.25" customHeight="1">
      <c r="C39" s="877" t="s">
        <v>1495</v>
      </c>
      <c r="D39" s="897">
        <v>-1526082.0400000005</v>
      </c>
      <c r="F39" s="877" t="s">
        <v>1496</v>
      </c>
    </row>
    <row r="40" spans="1:6" ht="14.25" customHeight="1" thickBot="1">
      <c r="D40" s="896">
        <f>SUM(D37:D39)</f>
        <v>611529.56668693293</v>
      </c>
      <c r="E40" s="890" t="s">
        <v>1463</v>
      </c>
    </row>
    <row r="41" spans="1:6" ht="14.25" customHeight="1" thickTop="1"/>
    <row r="42" spans="1:6" ht="14.25" customHeight="1">
      <c r="A42" s="877">
        <f>A36+1</f>
        <v>9</v>
      </c>
      <c r="B42" s="877" t="s">
        <v>1468</v>
      </c>
    </row>
    <row r="43" spans="1:6" ht="14.25" customHeight="1">
      <c r="C43" s="877" t="s">
        <v>1507</v>
      </c>
      <c r="D43" s="894">
        <f>'Rev Exp'!J71</f>
        <v>1372947.72</v>
      </c>
      <c r="F43" s="877" t="s">
        <v>1487</v>
      </c>
    </row>
    <row r="44" spans="1:6" ht="14.25" customHeight="1">
      <c r="C44" s="877" t="s">
        <v>1505</v>
      </c>
      <c r="D44" s="894">
        <v>86519.71</v>
      </c>
      <c r="F44" s="877" t="s">
        <v>1506</v>
      </c>
    </row>
    <row r="45" spans="1:6" ht="14.25" customHeight="1">
      <c r="C45" s="877" t="s">
        <v>1495</v>
      </c>
      <c r="D45" s="897">
        <v>-1109050.6500000001</v>
      </c>
      <c r="F45" s="877" t="s">
        <v>1496</v>
      </c>
    </row>
    <row r="46" spans="1:6" ht="14.25" customHeight="1" thickBot="1">
      <c r="D46" s="896">
        <f>SUM(D43:D45)</f>
        <v>350416.7799999998</v>
      </c>
      <c r="E46" s="890" t="s">
        <v>1465</v>
      </c>
    </row>
    <row r="47" spans="1:6" ht="14.25" customHeight="1" thickTop="1"/>
    <row r="49" spans="1:6" ht="14.25" customHeight="1">
      <c r="A49" s="877">
        <f>A42+1</f>
        <v>10</v>
      </c>
      <c r="B49" s="877" t="s">
        <v>93</v>
      </c>
    </row>
    <row r="50" spans="1:6" ht="14.25" customHeight="1">
      <c r="C50" s="877" t="s">
        <v>1508</v>
      </c>
      <c r="D50" s="894">
        <f>'Rev Exp'!J72</f>
        <v>30721.460000000003</v>
      </c>
      <c r="F50" s="877" t="s">
        <v>1487</v>
      </c>
    </row>
    <row r="51" spans="1:6" ht="14.25" customHeight="1">
      <c r="C51" s="877" t="s">
        <v>1495</v>
      </c>
      <c r="D51" s="897">
        <v>-5623.97</v>
      </c>
      <c r="F51" s="877" t="s">
        <v>1496</v>
      </c>
    </row>
    <row r="52" spans="1:6" ht="14.25" customHeight="1" thickBot="1">
      <c r="D52" s="896">
        <f>SUM(D50:D51)</f>
        <v>25097.49</v>
      </c>
      <c r="E52" s="890" t="s">
        <v>1467</v>
      </c>
    </row>
    <row r="53" spans="1:6" ht="14.25" customHeight="1" thickTop="1"/>
    <row r="54" spans="1:6" ht="14.25" customHeight="1">
      <c r="A54" s="877">
        <f>A49+1</f>
        <v>11</v>
      </c>
      <c r="B54" s="877" t="s">
        <v>94</v>
      </c>
    </row>
    <row r="55" spans="1:6" ht="14.25" customHeight="1">
      <c r="C55" s="877" t="s">
        <v>1510</v>
      </c>
      <c r="D55" s="894">
        <f>'Rev Exp'!J73</f>
        <v>2007319.2159669497</v>
      </c>
      <c r="F55" s="877" t="s">
        <v>1487</v>
      </c>
    </row>
    <row r="56" spans="1:6" ht="14.25" customHeight="1">
      <c r="C56" s="877" t="s">
        <v>1495</v>
      </c>
      <c r="D56" s="897">
        <v>-1349.4300000000003</v>
      </c>
      <c r="F56" s="877" t="s">
        <v>1496</v>
      </c>
    </row>
    <row r="57" spans="1:6" ht="14.25" customHeight="1">
      <c r="C57" s="877" t="s">
        <v>1511</v>
      </c>
      <c r="D57" s="897">
        <v>-17110.36</v>
      </c>
      <c r="F57" s="877" t="s">
        <v>1500</v>
      </c>
    </row>
    <row r="58" spans="1:6" ht="14.25" customHeight="1" thickBot="1">
      <c r="D58" s="896">
        <f>SUM(D55:D57)</f>
        <v>1988859.4259669497</v>
      </c>
      <c r="E58" s="890" t="s">
        <v>1469</v>
      </c>
    </row>
    <row r="59" spans="1:6" ht="14.25" customHeight="1" thickTop="1"/>
    <row r="60" spans="1:6" ht="14.25" customHeight="1">
      <c r="A60" s="877">
        <f>A54+1</f>
        <v>12</v>
      </c>
      <c r="B60" s="877" t="s">
        <v>1512</v>
      </c>
    </row>
    <row r="61" spans="1:6" ht="14.25" customHeight="1">
      <c r="C61" s="877" t="s">
        <v>1513</v>
      </c>
      <c r="D61" s="894">
        <f>'Rev Exp'!J74</f>
        <v>2640755.5700000003</v>
      </c>
      <c r="F61" s="877" t="s">
        <v>1487</v>
      </c>
    </row>
    <row r="62" spans="1:6" ht="14.25" customHeight="1">
      <c r="C62" s="877" t="s">
        <v>1495</v>
      </c>
      <c r="D62" s="897">
        <v>-510215.29000000015</v>
      </c>
      <c r="F62" s="877" t="s">
        <v>1496</v>
      </c>
    </row>
    <row r="63" spans="1:6" ht="14.25" customHeight="1">
      <c r="C63" s="877" t="s">
        <v>1511</v>
      </c>
      <c r="D63" s="897">
        <v>-19201.239999999998</v>
      </c>
      <c r="F63" s="877" t="s">
        <v>1500</v>
      </c>
    </row>
    <row r="64" spans="1:6" ht="14.25" customHeight="1" thickBot="1">
      <c r="D64" s="896">
        <f>SUM(D61:D63)</f>
        <v>2111339.04</v>
      </c>
      <c r="E64" s="890" t="s">
        <v>1470</v>
      </c>
    </row>
    <row r="65" spans="1:6" ht="14.25" customHeight="1" thickTop="1"/>
    <row r="66" spans="1:6" ht="14.25" customHeight="1">
      <c r="A66" s="877">
        <f>A60+1</f>
        <v>13</v>
      </c>
      <c r="B66" s="877" t="s">
        <v>1514</v>
      </c>
    </row>
    <row r="67" spans="1:6" ht="14.25" customHeight="1">
      <c r="C67" s="877" t="s">
        <v>1515</v>
      </c>
      <c r="D67" s="894">
        <f>'Rev Exp'!J76</f>
        <v>13058.158963496959</v>
      </c>
      <c r="F67" s="877" t="s">
        <v>1487</v>
      </c>
    </row>
    <row r="68" spans="1:6" ht="14.25" customHeight="1">
      <c r="C68" s="877" t="s">
        <v>1773</v>
      </c>
      <c r="D68" s="894">
        <v>-1994.26</v>
      </c>
    </row>
    <row r="69" spans="1:6" ht="14.25" customHeight="1">
      <c r="C69" s="877" t="s">
        <v>1495</v>
      </c>
      <c r="D69" s="897">
        <v>-8558.1684999999979</v>
      </c>
      <c r="F69" s="877" t="s">
        <v>1777</v>
      </c>
    </row>
    <row r="70" spans="1:6" ht="14.25" customHeight="1" thickBot="1">
      <c r="D70" s="896">
        <f>SUM(D67:D69)</f>
        <v>2505.7304634969605</v>
      </c>
      <c r="E70" s="890" t="s">
        <v>1471</v>
      </c>
    </row>
    <row r="71" spans="1:6" ht="14.25" customHeight="1" thickTop="1"/>
    <row r="72" spans="1:6" ht="14.25" customHeight="1">
      <c r="A72" s="877">
        <f>A66+1</f>
        <v>14</v>
      </c>
      <c r="B72" s="877" t="s">
        <v>95</v>
      </c>
    </row>
    <row r="73" spans="1:6" ht="14.25" customHeight="1">
      <c r="C73" s="877" t="s">
        <v>1516</v>
      </c>
      <c r="D73" s="894">
        <f>'Rev Exp'!J77</f>
        <v>286652.95</v>
      </c>
      <c r="F73" s="877" t="s">
        <v>1487</v>
      </c>
    </row>
    <row r="74" spans="1:6" ht="14.25" customHeight="1">
      <c r="C74" s="877" t="s">
        <v>1505</v>
      </c>
      <c r="D74" s="894">
        <v>128387.5</v>
      </c>
      <c r="F74" s="877" t="s">
        <v>1506</v>
      </c>
    </row>
    <row r="75" spans="1:6" ht="14.25" customHeight="1">
      <c r="C75" s="877" t="s">
        <v>1495</v>
      </c>
      <c r="D75" s="897">
        <v>-190275.9</v>
      </c>
      <c r="F75" s="877" t="s">
        <v>1496</v>
      </c>
    </row>
    <row r="76" spans="1:6" ht="14.25" customHeight="1" thickBot="1">
      <c r="D76" s="896">
        <f>SUM(D73:D75)</f>
        <v>224764.55000000002</v>
      </c>
      <c r="E76" s="890" t="s">
        <v>1472</v>
      </c>
    </row>
    <row r="77" spans="1:6" ht="14.25" customHeight="1" thickTop="1"/>
    <row r="78" spans="1:6" ht="14.25" customHeight="1">
      <c r="A78" s="877">
        <f>A72+1</f>
        <v>15</v>
      </c>
      <c r="B78" s="877" t="s">
        <v>75</v>
      </c>
    </row>
    <row r="79" spans="1:6" ht="14.25" customHeight="1">
      <c r="C79" s="877" t="s">
        <v>1517</v>
      </c>
      <c r="D79" s="894">
        <f>'Rev Exp'!J78</f>
        <v>198635.85000000003</v>
      </c>
      <c r="F79" s="877" t="s">
        <v>1487</v>
      </c>
    </row>
    <row r="80" spans="1:6" ht="14.25" customHeight="1">
      <c r="C80" s="877" t="s">
        <v>1495</v>
      </c>
      <c r="D80" s="897">
        <v>-168954.01</v>
      </c>
      <c r="F80" s="877" t="s">
        <v>1496</v>
      </c>
    </row>
    <row r="81" spans="1:6" ht="14.25" customHeight="1" thickBot="1">
      <c r="D81" s="896">
        <f>SUM(D79:D80)</f>
        <v>29681.840000000026</v>
      </c>
      <c r="E81" s="890" t="s">
        <v>1473</v>
      </c>
    </row>
    <row r="82" spans="1:6" ht="14.25" customHeight="1" thickTop="1"/>
    <row r="83" spans="1:6" ht="14.25" customHeight="1">
      <c r="A83" s="877">
        <f>A78+1</f>
        <v>16</v>
      </c>
      <c r="B83" s="877" t="s">
        <v>9</v>
      </c>
    </row>
    <row r="84" spans="1:6" ht="14.25" customHeight="1">
      <c r="C84" s="877" t="s">
        <v>1518</v>
      </c>
      <c r="D84" s="894">
        <f>'Rev Exp'!J136</f>
        <v>4971210.869877005</v>
      </c>
      <c r="F84" s="877" t="s">
        <v>1487</v>
      </c>
    </row>
    <row r="85" spans="1:6" ht="14.25" customHeight="1">
      <c r="C85" s="877" t="s">
        <v>1495</v>
      </c>
      <c r="D85" s="897">
        <v>0</v>
      </c>
      <c r="F85" s="877" t="s">
        <v>1496</v>
      </c>
    </row>
    <row r="86" spans="1:6" ht="14.25" customHeight="1" thickBot="1">
      <c r="D86" s="896">
        <f>SUM(D84:D85)</f>
        <v>4971210.869877005</v>
      </c>
      <c r="E86" s="890" t="s">
        <v>1474</v>
      </c>
    </row>
    <row r="87" spans="1:6" ht="14.25" customHeight="1" thickTop="1"/>
    <row r="88" spans="1:6" ht="14.25" customHeight="1">
      <c r="A88" s="877">
        <f>A83+1</f>
        <v>17</v>
      </c>
      <c r="B88" s="877" t="s">
        <v>1453</v>
      </c>
    </row>
    <row r="89" spans="1:6" ht="14.25" customHeight="1">
      <c r="C89" s="877" t="s">
        <v>1519</v>
      </c>
      <c r="D89" s="894">
        <f>'Rev Exp'!J137</f>
        <v>881569.91580000019</v>
      </c>
      <c r="F89" s="877" t="s">
        <v>1487</v>
      </c>
    </row>
    <row r="90" spans="1:6" ht="14.25" customHeight="1">
      <c r="C90" s="877" t="s">
        <v>1495</v>
      </c>
      <c r="D90" s="897">
        <v>-199351.27999999991</v>
      </c>
      <c r="F90" s="877" t="s">
        <v>1496</v>
      </c>
    </row>
    <row r="91" spans="1:6" ht="14.25" customHeight="1" thickBot="1">
      <c r="D91" s="896">
        <f>SUM(D89:D90)</f>
        <v>682218.63580000028</v>
      </c>
      <c r="E91" s="890" t="s">
        <v>1476</v>
      </c>
    </row>
    <row r="92" spans="1:6" ht="14.25" customHeight="1" thickTop="1"/>
    <row r="93" spans="1:6" ht="14.25" customHeight="1" thickBot="1">
      <c r="A93" s="877">
        <f>A88+1</f>
        <v>18</v>
      </c>
      <c r="B93" s="877" t="s">
        <v>140</v>
      </c>
      <c r="D93" s="898">
        <f>'Rev Exp'!J142</f>
        <v>53976.84</v>
      </c>
      <c r="E93" s="890" t="s">
        <v>1478</v>
      </c>
      <c r="F93" s="877" t="s">
        <v>1487</v>
      </c>
    </row>
    <row r="94" spans="1:6" ht="14.25" customHeight="1" thickTop="1"/>
    <row r="96" spans="1:6" ht="14.25" customHeight="1" thickBot="1">
      <c r="A96" s="877">
        <f>A93+1</f>
        <v>19</v>
      </c>
      <c r="B96" s="877" t="s">
        <v>1520</v>
      </c>
      <c r="D96" s="889">
        <v>9223674.6400000006</v>
      </c>
      <c r="E96" s="890" t="s">
        <v>1479</v>
      </c>
      <c r="F96" s="877" t="s">
        <v>1509</v>
      </c>
    </row>
    <row r="97" spans="1:6" ht="14.25" customHeight="1" thickTop="1"/>
    <row r="98" spans="1:6" ht="14.25" customHeight="1" thickBot="1">
      <c r="A98" s="877">
        <f>A96+1</f>
        <v>20</v>
      </c>
      <c r="B98" s="877" t="s">
        <v>1521</v>
      </c>
      <c r="D98" s="889">
        <f>'Rev Exp'!J145</f>
        <v>1368864.2109483429</v>
      </c>
      <c r="E98" s="890" t="s">
        <v>1481</v>
      </c>
      <c r="F98" s="877" t="s">
        <v>1487</v>
      </c>
    </row>
    <row r="99" spans="1:6" ht="14.25" customHeight="1" thickTop="1"/>
    <row r="100" spans="1:6" ht="14.25" customHeight="1">
      <c r="A100" s="877">
        <f>A98+1</f>
        <v>21</v>
      </c>
      <c r="B100" s="877" t="s">
        <v>1522</v>
      </c>
    </row>
    <row r="101" spans="1:6" ht="14.25" customHeight="1">
      <c r="A101" s="899"/>
      <c r="C101" s="877" t="s">
        <v>1</v>
      </c>
      <c r="D101" s="894">
        <f>'Rate Base'!H145</f>
        <v>296599943.72088826</v>
      </c>
      <c r="F101" s="877" t="s">
        <v>1487</v>
      </c>
    </row>
    <row r="102" spans="1:6" ht="14.25" customHeight="1">
      <c r="A102" s="899"/>
      <c r="C102" s="877" t="s">
        <v>685</v>
      </c>
      <c r="D102" s="900">
        <f>'Rev Exp'!J163</f>
        <v>2.2891749999999999E-2</v>
      </c>
      <c r="F102" s="877" t="s">
        <v>1523</v>
      </c>
    </row>
    <row r="103" spans="1:6" ht="14.25" customHeight="1" thickBot="1">
      <c r="A103" s="899"/>
      <c r="C103" s="877" t="s">
        <v>686</v>
      </c>
      <c r="D103" s="901">
        <f>D101*D102</f>
        <v>6789691.761672643</v>
      </c>
      <c r="E103" s="890" t="s">
        <v>1524</v>
      </c>
    </row>
  </sheetData>
  <pageMargins left="0.75" right="0.75" top="0.65" bottom="0.59" header="0.5" footer="0.32"/>
  <pageSetup scale="83" fitToHeight="2" orientation="portrait" r:id="rId1"/>
  <headerFooter alignWithMargins="0">
    <oddFooter>&amp;F</oddFooter>
  </headerFooter>
  <rowBreaks count="1" manualBreakCount="1">
    <brk id="40" max="11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FD8E4-254B-4B32-930B-CB6C20A6F9DF}">
  <sheetPr>
    <tabColor rgb="FFFFFFCC"/>
    <pageSetUpPr fitToPage="1"/>
  </sheetPr>
  <dimension ref="A1:P78"/>
  <sheetViews>
    <sheetView showGridLines="0" zoomScaleNormal="100" zoomScaleSheetLayoutView="100" workbookViewId="0"/>
  </sheetViews>
  <sheetFormatPr defaultColWidth="7" defaultRowHeight="10.199999999999999"/>
  <cols>
    <col min="1" max="1" width="3.88671875" style="156" customWidth="1"/>
    <col min="2" max="3" width="2.88671875" style="156" customWidth="1"/>
    <col min="4" max="4" width="4.44140625" style="156" customWidth="1"/>
    <col min="5" max="7" width="6.5546875" style="156" customWidth="1"/>
    <col min="8" max="8" width="9.44140625" style="156" customWidth="1"/>
    <col min="9" max="9" width="2.88671875" style="156" customWidth="1"/>
    <col min="10" max="10" width="10.5546875" style="156" customWidth="1"/>
    <col min="11" max="11" width="2.88671875" style="156" customWidth="1"/>
    <col min="12" max="12" width="11.88671875" style="156" customWidth="1"/>
    <col min="13" max="13" width="2.88671875" style="156" customWidth="1"/>
    <col min="14" max="14" width="9.109375" style="156" customWidth="1"/>
    <col min="15" max="15" width="2.88671875" style="156" customWidth="1"/>
    <col min="16" max="16" width="3.88671875" style="156" customWidth="1"/>
    <col min="17" max="239" width="7" style="156"/>
    <col min="240" max="240" width="4.109375" style="156" customWidth="1"/>
    <col min="241" max="242" width="2.88671875" style="156" customWidth="1"/>
    <col min="243" max="243" width="4.44140625" style="156" customWidth="1"/>
    <col min="244" max="246" width="6.5546875" style="156" customWidth="1"/>
    <col min="247" max="247" width="9.44140625" style="156" customWidth="1"/>
    <col min="248" max="248" width="4.44140625" style="156" customWidth="1"/>
    <col min="249" max="249" width="12.88671875" style="156" customWidth="1"/>
    <col min="250" max="250" width="4.109375" style="156" customWidth="1"/>
    <col min="251" max="251" width="13.44140625" style="156" customWidth="1"/>
    <col min="252" max="252" width="2.88671875" style="156" customWidth="1"/>
    <col min="253" max="253" width="12.109375" style="156" customWidth="1"/>
    <col min="254" max="254" width="4.109375" style="156" customWidth="1"/>
    <col min="255" max="255" width="12.88671875" style="156" customWidth="1"/>
    <col min="256" max="256" width="4.109375" style="156" customWidth="1"/>
    <col min="257" max="257" width="11.109375" style="156" customWidth="1"/>
    <col min="258" max="258" width="4.109375" style="156" customWidth="1"/>
    <col min="259" max="259" width="11.109375" style="156" customWidth="1"/>
    <col min="260" max="260" width="2.88671875" style="156" customWidth="1"/>
    <col min="261" max="261" width="4.44140625" style="156" customWidth="1"/>
    <col min="262" max="262" width="2.88671875" style="156" customWidth="1"/>
    <col min="263" max="263" width="10" style="156" customWidth="1"/>
    <col min="264" max="264" width="11.5546875" style="156" customWidth="1"/>
    <col min="265" max="495" width="7" style="156"/>
    <col min="496" max="496" width="4.109375" style="156" customWidth="1"/>
    <col min="497" max="498" width="2.88671875" style="156" customWidth="1"/>
    <col min="499" max="499" width="4.44140625" style="156" customWidth="1"/>
    <col min="500" max="502" width="6.5546875" style="156" customWidth="1"/>
    <col min="503" max="503" width="9.44140625" style="156" customWidth="1"/>
    <col min="504" max="504" width="4.44140625" style="156" customWidth="1"/>
    <col min="505" max="505" width="12.88671875" style="156" customWidth="1"/>
    <col min="506" max="506" width="4.109375" style="156" customWidth="1"/>
    <col min="507" max="507" width="13.44140625" style="156" customWidth="1"/>
    <col min="508" max="508" width="2.88671875" style="156" customWidth="1"/>
    <col min="509" max="509" width="12.109375" style="156" customWidth="1"/>
    <col min="510" max="510" width="4.109375" style="156" customWidth="1"/>
    <col min="511" max="511" width="12.88671875" style="156" customWidth="1"/>
    <col min="512" max="512" width="4.109375" style="156" customWidth="1"/>
    <col min="513" max="513" width="11.109375" style="156" customWidth="1"/>
    <col min="514" max="514" width="4.109375" style="156" customWidth="1"/>
    <col min="515" max="515" width="11.109375" style="156" customWidth="1"/>
    <col min="516" max="516" width="2.88671875" style="156" customWidth="1"/>
    <col min="517" max="517" width="4.44140625" style="156" customWidth="1"/>
    <col min="518" max="518" width="2.88671875" style="156" customWidth="1"/>
    <col min="519" max="519" width="10" style="156" customWidth="1"/>
    <col min="520" max="520" width="11.5546875" style="156" customWidth="1"/>
    <col min="521" max="751" width="7" style="156"/>
    <col min="752" max="752" width="4.109375" style="156" customWidth="1"/>
    <col min="753" max="754" width="2.88671875" style="156" customWidth="1"/>
    <col min="755" max="755" width="4.44140625" style="156" customWidth="1"/>
    <col min="756" max="758" width="6.5546875" style="156" customWidth="1"/>
    <col min="759" max="759" width="9.44140625" style="156" customWidth="1"/>
    <col min="760" max="760" width="4.44140625" style="156" customWidth="1"/>
    <col min="761" max="761" width="12.88671875" style="156" customWidth="1"/>
    <col min="762" max="762" width="4.109375" style="156" customWidth="1"/>
    <col min="763" max="763" width="13.44140625" style="156" customWidth="1"/>
    <col min="764" max="764" width="2.88671875" style="156" customWidth="1"/>
    <col min="765" max="765" width="12.109375" style="156" customWidth="1"/>
    <col min="766" max="766" width="4.109375" style="156" customWidth="1"/>
    <col min="767" max="767" width="12.88671875" style="156" customWidth="1"/>
    <col min="768" max="768" width="4.109375" style="156" customWidth="1"/>
    <col min="769" max="769" width="11.109375" style="156" customWidth="1"/>
    <col min="770" max="770" width="4.109375" style="156" customWidth="1"/>
    <col min="771" max="771" width="11.109375" style="156" customWidth="1"/>
    <col min="772" max="772" width="2.88671875" style="156" customWidth="1"/>
    <col min="773" max="773" width="4.44140625" style="156" customWidth="1"/>
    <col min="774" max="774" width="2.88671875" style="156" customWidth="1"/>
    <col min="775" max="775" width="10" style="156" customWidth="1"/>
    <col min="776" max="776" width="11.5546875" style="156" customWidth="1"/>
    <col min="777" max="1007" width="7" style="156"/>
    <col min="1008" max="1008" width="4.109375" style="156" customWidth="1"/>
    <col min="1009" max="1010" width="2.88671875" style="156" customWidth="1"/>
    <col min="1011" max="1011" width="4.44140625" style="156" customWidth="1"/>
    <col min="1012" max="1014" width="6.5546875" style="156" customWidth="1"/>
    <col min="1015" max="1015" width="9.44140625" style="156" customWidth="1"/>
    <col min="1016" max="1016" width="4.44140625" style="156" customWidth="1"/>
    <col min="1017" max="1017" width="12.88671875" style="156" customWidth="1"/>
    <col min="1018" max="1018" width="4.109375" style="156" customWidth="1"/>
    <col min="1019" max="1019" width="13.44140625" style="156" customWidth="1"/>
    <col min="1020" max="1020" width="2.88671875" style="156" customWidth="1"/>
    <col min="1021" max="1021" width="12.109375" style="156" customWidth="1"/>
    <col min="1022" max="1022" width="4.109375" style="156" customWidth="1"/>
    <col min="1023" max="1023" width="12.88671875" style="156" customWidth="1"/>
    <col min="1024" max="1024" width="4.109375" style="156" customWidth="1"/>
    <col min="1025" max="1025" width="11.109375" style="156" customWidth="1"/>
    <col min="1026" max="1026" width="4.109375" style="156" customWidth="1"/>
    <col min="1027" max="1027" width="11.109375" style="156" customWidth="1"/>
    <col min="1028" max="1028" width="2.88671875" style="156" customWidth="1"/>
    <col min="1029" max="1029" width="4.44140625" style="156" customWidth="1"/>
    <col min="1030" max="1030" width="2.88671875" style="156" customWidth="1"/>
    <col min="1031" max="1031" width="10" style="156" customWidth="1"/>
    <col min="1032" max="1032" width="11.5546875" style="156" customWidth="1"/>
    <col min="1033" max="1263" width="7" style="156"/>
    <col min="1264" max="1264" width="4.109375" style="156" customWidth="1"/>
    <col min="1265" max="1266" width="2.88671875" style="156" customWidth="1"/>
    <col min="1267" max="1267" width="4.44140625" style="156" customWidth="1"/>
    <col min="1268" max="1270" width="6.5546875" style="156" customWidth="1"/>
    <col min="1271" max="1271" width="9.44140625" style="156" customWidth="1"/>
    <col min="1272" max="1272" width="4.44140625" style="156" customWidth="1"/>
    <col min="1273" max="1273" width="12.88671875" style="156" customWidth="1"/>
    <col min="1274" max="1274" width="4.109375" style="156" customWidth="1"/>
    <col min="1275" max="1275" width="13.44140625" style="156" customWidth="1"/>
    <col min="1276" max="1276" width="2.88671875" style="156" customWidth="1"/>
    <col min="1277" max="1277" width="12.109375" style="156" customWidth="1"/>
    <col min="1278" max="1278" width="4.109375" style="156" customWidth="1"/>
    <col min="1279" max="1279" width="12.88671875" style="156" customWidth="1"/>
    <col min="1280" max="1280" width="4.109375" style="156" customWidth="1"/>
    <col min="1281" max="1281" width="11.109375" style="156" customWidth="1"/>
    <col min="1282" max="1282" width="4.109375" style="156" customWidth="1"/>
    <col min="1283" max="1283" width="11.109375" style="156" customWidth="1"/>
    <col min="1284" max="1284" width="2.88671875" style="156" customWidth="1"/>
    <col min="1285" max="1285" width="4.44140625" style="156" customWidth="1"/>
    <col min="1286" max="1286" width="2.88671875" style="156" customWidth="1"/>
    <col min="1287" max="1287" width="10" style="156" customWidth="1"/>
    <col min="1288" max="1288" width="11.5546875" style="156" customWidth="1"/>
    <col min="1289" max="1519" width="7" style="156"/>
    <col min="1520" max="1520" width="4.109375" style="156" customWidth="1"/>
    <col min="1521" max="1522" width="2.88671875" style="156" customWidth="1"/>
    <col min="1523" max="1523" width="4.44140625" style="156" customWidth="1"/>
    <col min="1524" max="1526" width="6.5546875" style="156" customWidth="1"/>
    <col min="1527" max="1527" width="9.44140625" style="156" customWidth="1"/>
    <col min="1528" max="1528" width="4.44140625" style="156" customWidth="1"/>
    <col min="1529" max="1529" width="12.88671875" style="156" customWidth="1"/>
    <col min="1530" max="1530" width="4.109375" style="156" customWidth="1"/>
    <col min="1531" max="1531" width="13.44140625" style="156" customWidth="1"/>
    <col min="1532" max="1532" width="2.88671875" style="156" customWidth="1"/>
    <col min="1533" max="1533" width="12.109375" style="156" customWidth="1"/>
    <col min="1534" max="1534" width="4.109375" style="156" customWidth="1"/>
    <col min="1535" max="1535" width="12.88671875" style="156" customWidth="1"/>
    <col min="1536" max="1536" width="4.109375" style="156" customWidth="1"/>
    <col min="1537" max="1537" width="11.109375" style="156" customWidth="1"/>
    <col min="1538" max="1538" width="4.109375" style="156" customWidth="1"/>
    <col min="1539" max="1539" width="11.109375" style="156" customWidth="1"/>
    <col min="1540" max="1540" width="2.88671875" style="156" customWidth="1"/>
    <col min="1541" max="1541" width="4.44140625" style="156" customWidth="1"/>
    <col min="1542" max="1542" width="2.88671875" style="156" customWidth="1"/>
    <col min="1543" max="1543" width="10" style="156" customWidth="1"/>
    <col min="1544" max="1544" width="11.5546875" style="156" customWidth="1"/>
    <col min="1545" max="1775" width="7" style="156"/>
    <col min="1776" max="1776" width="4.109375" style="156" customWidth="1"/>
    <col min="1777" max="1778" width="2.88671875" style="156" customWidth="1"/>
    <col min="1779" max="1779" width="4.44140625" style="156" customWidth="1"/>
    <col min="1780" max="1782" width="6.5546875" style="156" customWidth="1"/>
    <col min="1783" max="1783" width="9.44140625" style="156" customWidth="1"/>
    <col min="1784" max="1784" width="4.44140625" style="156" customWidth="1"/>
    <col min="1785" max="1785" width="12.88671875" style="156" customWidth="1"/>
    <col min="1786" max="1786" width="4.109375" style="156" customWidth="1"/>
    <col min="1787" max="1787" width="13.44140625" style="156" customWidth="1"/>
    <col min="1788" max="1788" width="2.88671875" style="156" customWidth="1"/>
    <col min="1789" max="1789" width="12.109375" style="156" customWidth="1"/>
    <col min="1790" max="1790" width="4.109375" style="156" customWidth="1"/>
    <col min="1791" max="1791" width="12.88671875" style="156" customWidth="1"/>
    <col min="1792" max="1792" width="4.109375" style="156" customWidth="1"/>
    <col min="1793" max="1793" width="11.109375" style="156" customWidth="1"/>
    <col min="1794" max="1794" width="4.109375" style="156" customWidth="1"/>
    <col min="1795" max="1795" width="11.109375" style="156" customWidth="1"/>
    <col min="1796" max="1796" width="2.88671875" style="156" customWidth="1"/>
    <col min="1797" max="1797" width="4.44140625" style="156" customWidth="1"/>
    <col min="1798" max="1798" width="2.88671875" style="156" customWidth="1"/>
    <col min="1799" max="1799" width="10" style="156" customWidth="1"/>
    <col min="1800" max="1800" width="11.5546875" style="156" customWidth="1"/>
    <col min="1801" max="2031" width="7" style="156"/>
    <col min="2032" max="2032" width="4.109375" style="156" customWidth="1"/>
    <col min="2033" max="2034" width="2.88671875" style="156" customWidth="1"/>
    <col min="2035" max="2035" width="4.44140625" style="156" customWidth="1"/>
    <col min="2036" max="2038" width="6.5546875" style="156" customWidth="1"/>
    <col min="2039" max="2039" width="9.44140625" style="156" customWidth="1"/>
    <col min="2040" max="2040" width="4.44140625" style="156" customWidth="1"/>
    <col min="2041" max="2041" width="12.88671875" style="156" customWidth="1"/>
    <col min="2042" max="2042" width="4.109375" style="156" customWidth="1"/>
    <col min="2043" max="2043" width="13.44140625" style="156" customWidth="1"/>
    <col min="2044" max="2044" width="2.88671875" style="156" customWidth="1"/>
    <col min="2045" max="2045" width="12.109375" style="156" customWidth="1"/>
    <col min="2046" max="2046" width="4.109375" style="156" customWidth="1"/>
    <col min="2047" max="2047" width="12.88671875" style="156" customWidth="1"/>
    <col min="2048" max="2048" width="4.109375" style="156" customWidth="1"/>
    <col min="2049" max="2049" width="11.109375" style="156" customWidth="1"/>
    <col min="2050" max="2050" width="4.109375" style="156" customWidth="1"/>
    <col min="2051" max="2051" width="11.109375" style="156" customWidth="1"/>
    <col min="2052" max="2052" width="2.88671875" style="156" customWidth="1"/>
    <col min="2053" max="2053" width="4.44140625" style="156" customWidth="1"/>
    <col min="2054" max="2054" width="2.88671875" style="156" customWidth="1"/>
    <col min="2055" max="2055" width="10" style="156" customWidth="1"/>
    <col min="2056" max="2056" width="11.5546875" style="156" customWidth="1"/>
    <col min="2057" max="2287" width="7" style="156"/>
    <col min="2288" max="2288" width="4.109375" style="156" customWidth="1"/>
    <col min="2289" max="2290" width="2.88671875" style="156" customWidth="1"/>
    <col min="2291" max="2291" width="4.44140625" style="156" customWidth="1"/>
    <col min="2292" max="2294" width="6.5546875" style="156" customWidth="1"/>
    <col min="2295" max="2295" width="9.44140625" style="156" customWidth="1"/>
    <col min="2296" max="2296" width="4.44140625" style="156" customWidth="1"/>
    <col min="2297" max="2297" width="12.88671875" style="156" customWidth="1"/>
    <col min="2298" max="2298" width="4.109375" style="156" customWidth="1"/>
    <col min="2299" max="2299" width="13.44140625" style="156" customWidth="1"/>
    <col min="2300" max="2300" width="2.88671875" style="156" customWidth="1"/>
    <col min="2301" max="2301" width="12.109375" style="156" customWidth="1"/>
    <col min="2302" max="2302" width="4.109375" style="156" customWidth="1"/>
    <col min="2303" max="2303" width="12.88671875" style="156" customWidth="1"/>
    <col min="2304" max="2304" width="4.109375" style="156" customWidth="1"/>
    <col min="2305" max="2305" width="11.109375" style="156" customWidth="1"/>
    <col min="2306" max="2306" width="4.109375" style="156" customWidth="1"/>
    <col min="2307" max="2307" width="11.109375" style="156" customWidth="1"/>
    <col min="2308" max="2308" width="2.88671875" style="156" customWidth="1"/>
    <col min="2309" max="2309" width="4.44140625" style="156" customWidth="1"/>
    <col min="2310" max="2310" width="2.88671875" style="156" customWidth="1"/>
    <col min="2311" max="2311" width="10" style="156" customWidth="1"/>
    <col min="2312" max="2312" width="11.5546875" style="156" customWidth="1"/>
    <col min="2313" max="2543" width="7" style="156"/>
    <col min="2544" max="2544" width="4.109375" style="156" customWidth="1"/>
    <col min="2545" max="2546" width="2.88671875" style="156" customWidth="1"/>
    <col min="2547" max="2547" width="4.44140625" style="156" customWidth="1"/>
    <col min="2548" max="2550" width="6.5546875" style="156" customWidth="1"/>
    <col min="2551" max="2551" width="9.44140625" style="156" customWidth="1"/>
    <col min="2552" max="2552" width="4.44140625" style="156" customWidth="1"/>
    <col min="2553" max="2553" width="12.88671875" style="156" customWidth="1"/>
    <col min="2554" max="2554" width="4.109375" style="156" customWidth="1"/>
    <col min="2555" max="2555" width="13.44140625" style="156" customWidth="1"/>
    <col min="2556" max="2556" width="2.88671875" style="156" customWidth="1"/>
    <col min="2557" max="2557" width="12.109375" style="156" customWidth="1"/>
    <col min="2558" max="2558" width="4.109375" style="156" customWidth="1"/>
    <col min="2559" max="2559" width="12.88671875" style="156" customWidth="1"/>
    <col min="2560" max="2560" width="4.109375" style="156" customWidth="1"/>
    <col min="2561" max="2561" width="11.109375" style="156" customWidth="1"/>
    <col min="2562" max="2562" width="4.109375" style="156" customWidth="1"/>
    <col min="2563" max="2563" width="11.109375" style="156" customWidth="1"/>
    <col min="2564" max="2564" width="2.88671875" style="156" customWidth="1"/>
    <col min="2565" max="2565" width="4.44140625" style="156" customWidth="1"/>
    <col min="2566" max="2566" width="2.88671875" style="156" customWidth="1"/>
    <col min="2567" max="2567" width="10" style="156" customWidth="1"/>
    <col min="2568" max="2568" width="11.5546875" style="156" customWidth="1"/>
    <col min="2569" max="2799" width="7" style="156"/>
    <col min="2800" max="2800" width="4.109375" style="156" customWidth="1"/>
    <col min="2801" max="2802" width="2.88671875" style="156" customWidth="1"/>
    <col min="2803" max="2803" width="4.44140625" style="156" customWidth="1"/>
    <col min="2804" max="2806" width="6.5546875" style="156" customWidth="1"/>
    <col min="2807" max="2807" width="9.44140625" style="156" customWidth="1"/>
    <col min="2808" max="2808" width="4.44140625" style="156" customWidth="1"/>
    <col min="2809" max="2809" width="12.88671875" style="156" customWidth="1"/>
    <col min="2810" max="2810" width="4.109375" style="156" customWidth="1"/>
    <col min="2811" max="2811" width="13.44140625" style="156" customWidth="1"/>
    <col min="2812" max="2812" width="2.88671875" style="156" customWidth="1"/>
    <col min="2813" max="2813" width="12.109375" style="156" customWidth="1"/>
    <col min="2814" max="2814" width="4.109375" style="156" customWidth="1"/>
    <col min="2815" max="2815" width="12.88671875" style="156" customWidth="1"/>
    <col min="2816" max="2816" width="4.109375" style="156" customWidth="1"/>
    <col min="2817" max="2817" width="11.109375" style="156" customWidth="1"/>
    <col min="2818" max="2818" width="4.109375" style="156" customWidth="1"/>
    <col min="2819" max="2819" width="11.109375" style="156" customWidth="1"/>
    <col min="2820" max="2820" width="2.88671875" style="156" customWidth="1"/>
    <col min="2821" max="2821" width="4.44140625" style="156" customWidth="1"/>
    <col min="2822" max="2822" width="2.88671875" style="156" customWidth="1"/>
    <col min="2823" max="2823" width="10" style="156" customWidth="1"/>
    <col min="2824" max="2824" width="11.5546875" style="156" customWidth="1"/>
    <col min="2825" max="3055" width="7" style="156"/>
    <col min="3056" max="3056" width="4.109375" style="156" customWidth="1"/>
    <col min="3057" max="3058" width="2.88671875" style="156" customWidth="1"/>
    <col min="3059" max="3059" width="4.44140625" style="156" customWidth="1"/>
    <col min="3060" max="3062" width="6.5546875" style="156" customWidth="1"/>
    <col min="3063" max="3063" width="9.44140625" style="156" customWidth="1"/>
    <col min="3064" max="3064" width="4.44140625" style="156" customWidth="1"/>
    <col min="3065" max="3065" width="12.88671875" style="156" customWidth="1"/>
    <col min="3066" max="3066" width="4.109375" style="156" customWidth="1"/>
    <col min="3067" max="3067" width="13.44140625" style="156" customWidth="1"/>
    <col min="3068" max="3068" width="2.88671875" style="156" customWidth="1"/>
    <col min="3069" max="3069" width="12.109375" style="156" customWidth="1"/>
    <col min="3070" max="3070" width="4.109375" style="156" customWidth="1"/>
    <col min="3071" max="3071" width="12.88671875" style="156" customWidth="1"/>
    <col min="3072" max="3072" width="4.109375" style="156" customWidth="1"/>
    <col min="3073" max="3073" width="11.109375" style="156" customWidth="1"/>
    <col min="3074" max="3074" width="4.109375" style="156" customWidth="1"/>
    <col min="3075" max="3075" width="11.109375" style="156" customWidth="1"/>
    <col min="3076" max="3076" width="2.88671875" style="156" customWidth="1"/>
    <col min="3077" max="3077" width="4.44140625" style="156" customWidth="1"/>
    <col min="3078" max="3078" width="2.88671875" style="156" customWidth="1"/>
    <col min="3079" max="3079" width="10" style="156" customWidth="1"/>
    <col min="3080" max="3080" width="11.5546875" style="156" customWidth="1"/>
    <col min="3081" max="3311" width="7" style="156"/>
    <col min="3312" max="3312" width="4.109375" style="156" customWidth="1"/>
    <col min="3313" max="3314" width="2.88671875" style="156" customWidth="1"/>
    <col min="3315" max="3315" width="4.44140625" style="156" customWidth="1"/>
    <col min="3316" max="3318" width="6.5546875" style="156" customWidth="1"/>
    <col min="3319" max="3319" width="9.44140625" style="156" customWidth="1"/>
    <col min="3320" max="3320" width="4.44140625" style="156" customWidth="1"/>
    <col min="3321" max="3321" width="12.88671875" style="156" customWidth="1"/>
    <col min="3322" max="3322" width="4.109375" style="156" customWidth="1"/>
    <col min="3323" max="3323" width="13.44140625" style="156" customWidth="1"/>
    <col min="3324" max="3324" width="2.88671875" style="156" customWidth="1"/>
    <col min="3325" max="3325" width="12.109375" style="156" customWidth="1"/>
    <col min="3326" max="3326" width="4.109375" style="156" customWidth="1"/>
    <col min="3327" max="3327" width="12.88671875" style="156" customWidth="1"/>
    <col min="3328" max="3328" width="4.109375" style="156" customWidth="1"/>
    <col min="3329" max="3329" width="11.109375" style="156" customWidth="1"/>
    <col min="3330" max="3330" width="4.109375" style="156" customWidth="1"/>
    <col min="3331" max="3331" width="11.109375" style="156" customWidth="1"/>
    <col min="3332" max="3332" width="2.88671875" style="156" customWidth="1"/>
    <col min="3333" max="3333" width="4.44140625" style="156" customWidth="1"/>
    <col min="3334" max="3334" width="2.88671875" style="156" customWidth="1"/>
    <col min="3335" max="3335" width="10" style="156" customWidth="1"/>
    <col min="3336" max="3336" width="11.5546875" style="156" customWidth="1"/>
    <col min="3337" max="3567" width="7" style="156"/>
    <col min="3568" max="3568" width="4.109375" style="156" customWidth="1"/>
    <col min="3569" max="3570" width="2.88671875" style="156" customWidth="1"/>
    <col min="3571" max="3571" width="4.44140625" style="156" customWidth="1"/>
    <col min="3572" max="3574" width="6.5546875" style="156" customWidth="1"/>
    <col min="3575" max="3575" width="9.44140625" style="156" customWidth="1"/>
    <col min="3576" max="3576" width="4.44140625" style="156" customWidth="1"/>
    <col min="3577" max="3577" width="12.88671875" style="156" customWidth="1"/>
    <col min="3578" max="3578" width="4.109375" style="156" customWidth="1"/>
    <col min="3579" max="3579" width="13.44140625" style="156" customWidth="1"/>
    <col min="3580" max="3580" width="2.88671875" style="156" customWidth="1"/>
    <col min="3581" max="3581" width="12.109375" style="156" customWidth="1"/>
    <col min="3582" max="3582" width="4.109375" style="156" customWidth="1"/>
    <col min="3583" max="3583" width="12.88671875" style="156" customWidth="1"/>
    <col min="3584" max="3584" width="4.109375" style="156" customWidth="1"/>
    <col min="3585" max="3585" width="11.109375" style="156" customWidth="1"/>
    <col min="3586" max="3586" width="4.109375" style="156" customWidth="1"/>
    <col min="3587" max="3587" width="11.109375" style="156" customWidth="1"/>
    <col min="3588" max="3588" width="2.88671875" style="156" customWidth="1"/>
    <col min="3589" max="3589" width="4.44140625" style="156" customWidth="1"/>
    <col min="3590" max="3590" width="2.88671875" style="156" customWidth="1"/>
    <col min="3591" max="3591" width="10" style="156" customWidth="1"/>
    <col min="3592" max="3592" width="11.5546875" style="156" customWidth="1"/>
    <col min="3593" max="3823" width="7" style="156"/>
    <col min="3824" max="3824" width="4.109375" style="156" customWidth="1"/>
    <col min="3825" max="3826" width="2.88671875" style="156" customWidth="1"/>
    <col min="3827" max="3827" width="4.44140625" style="156" customWidth="1"/>
    <col min="3828" max="3830" width="6.5546875" style="156" customWidth="1"/>
    <col min="3831" max="3831" width="9.44140625" style="156" customWidth="1"/>
    <col min="3832" max="3832" width="4.44140625" style="156" customWidth="1"/>
    <col min="3833" max="3833" width="12.88671875" style="156" customWidth="1"/>
    <col min="3834" max="3834" width="4.109375" style="156" customWidth="1"/>
    <col min="3835" max="3835" width="13.44140625" style="156" customWidth="1"/>
    <col min="3836" max="3836" width="2.88671875" style="156" customWidth="1"/>
    <col min="3837" max="3837" width="12.109375" style="156" customWidth="1"/>
    <col min="3838" max="3838" width="4.109375" style="156" customWidth="1"/>
    <col min="3839" max="3839" width="12.88671875" style="156" customWidth="1"/>
    <col min="3840" max="3840" width="4.109375" style="156" customWidth="1"/>
    <col min="3841" max="3841" width="11.109375" style="156" customWidth="1"/>
    <col min="3842" max="3842" width="4.109375" style="156" customWidth="1"/>
    <col min="3843" max="3843" width="11.109375" style="156" customWidth="1"/>
    <col min="3844" max="3844" width="2.88671875" style="156" customWidth="1"/>
    <col min="3845" max="3845" width="4.44140625" style="156" customWidth="1"/>
    <col min="3846" max="3846" width="2.88671875" style="156" customWidth="1"/>
    <col min="3847" max="3847" width="10" style="156" customWidth="1"/>
    <col min="3848" max="3848" width="11.5546875" style="156" customWidth="1"/>
    <col min="3849" max="4079" width="7" style="156"/>
    <col min="4080" max="4080" width="4.109375" style="156" customWidth="1"/>
    <col min="4081" max="4082" width="2.88671875" style="156" customWidth="1"/>
    <col min="4083" max="4083" width="4.44140625" style="156" customWidth="1"/>
    <col min="4084" max="4086" width="6.5546875" style="156" customWidth="1"/>
    <col min="4087" max="4087" width="9.44140625" style="156" customWidth="1"/>
    <col min="4088" max="4088" width="4.44140625" style="156" customWidth="1"/>
    <col min="4089" max="4089" width="12.88671875" style="156" customWidth="1"/>
    <col min="4090" max="4090" width="4.109375" style="156" customWidth="1"/>
    <col min="4091" max="4091" width="13.44140625" style="156" customWidth="1"/>
    <col min="4092" max="4092" width="2.88671875" style="156" customWidth="1"/>
    <col min="4093" max="4093" width="12.109375" style="156" customWidth="1"/>
    <col min="4094" max="4094" width="4.109375" style="156" customWidth="1"/>
    <col min="4095" max="4095" width="12.88671875" style="156" customWidth="1"/>
    <col min="4096" max="4096" width="4.109375" style="156" customWidth="1"/>
    <col min="4097" max="4097" width="11.109375" style="156" customWidth="1"/>
    <col min="4098" max="4098" width="4.109375" style="156" customWidth="1"/>
    <col min="4099" max="4099" width="11.109375" style="156" customWidth="1"/>
    <col min="4100" max="4100" width="2.88671875" style="156" customWidth="1"/>
    <col min="4101" max="4101" width="4.44140625" style="156" customWidth="1"/>
    <col min="4102" max="4102" width="2.88671875" style="156" customWidth="1"/>
    <col min="4103" max="4103" width="10" style="156" customWidth="1"/>
    <col min="4104" max="4104" width="11.5546875" style="156" customWidth="1"/>
    <col min="4105" max="4335" width="7" style="156"/>
    <col min="4336" max="4336" width="4.109375" style="156" customWidth="1"/>
    <col min="4337" max="4338" width="2.88671875" style="156" customWidth="1"/>
    <col min="4339" max="4339" width="4.44140625" style="156" customWidth="1"/>
    <col min="4340" max="4342" width="6.5546875" style="156" customWidth="1"/>
    <col min="4343" max="4343" width="9.44140625" style="156" customWidth="1"/>
    <col min="4344" max="4344" width="4.44140625" style="156" customWidth="1"/>
    <col min="4345" max="4345" width="12.88671875" style="156" customWidth="1"/>
    <col min="4346" max="4346" width="4.109375" style="156" customWidth="1"/>
    <col min="4347" max="4347" width="13.44140625" style="156" customWidth="1"/>
    <col min="4348" max="4348" width="2.88671875" style="156" customWidth="1"/>
    <col min="4349" max="4349" width="12.109375" style="156" customWidth="1"/>
    <col min="4350" max="4350" width="4.109375" style="156" customWidth="1"/>
    <col min="4351" max="4351" width="12.88671875" style="156" customWidth="1"/>
    <col min="4352" max="4352" width="4.109375" style="156" customWidth="1"/>
    <col min="4353" max="4353" width="11.109375" style="156" customWidth="1"/>
    <col min="4354" max="4354" width="4.109375" style="156" customWidth="1"/>
    <col min="4355" max="4355" width="11.109375" style="156" customWidth="1"/>
    <col min="4356" max="4356" width="2.88671875" style="156" customWidth="1"/>
    <col min="4357" max="4357" width="4.44140625" style="156" customWidth="1"/>
    <col min="4358" max="4358" width="2.88671875" style="156" customWidth="1"/>
    <col min="4359" max="4359" width="10" style="156" customWidth="1"/>
    <col min="4360" max="4360" width="11.5546875" style="156" customWidth="1"/>
    <col min="4361" max="4591" width="7" style="156"/>
    <col min="4592" max="4592" width="4.109375" style="156" customWidth="1"/>
    <col min="4593" max="4594" width="2.88671875" style="156" customWidth="1"/>
    <col min="4595" max="4595" width="4.44140625" style="156" customWidth="1"/>
    <col min="4596" max="4598" width="6.5546875" style="156" customWidth="1"/>
    <col min="4599" max="4599" width="9.44140625" style="156" customWidth="1"/>
    <col min="4600" max="4600" width="4.44140625" style="156" customWidth="1"/>
    <col min="4601" max="4601" width="12.88671875" style="156" customWidth="1"/>
    <col min="4602" max="4602" width="4.109375" style="156" customWidth="1"/>
    <col min="4603" max="4603" width="13.44140625" style="156" customWidth="1"/>
    <col min="4604" max="4604" width="2.88671875" style="156" customWidth="1"/>
    <col min="4605" max="4605" width="12.109375" style="156" customWidth="1"/>
    <col min="4606" max="4606" width="4.109375" style="156" customWidth="1"/>
    <col min="4607" max="4607" width="12.88671875" style="156" customWidth="1"/>
    <col min="4608" max="4608" width="4.109375" style="156" customWidth="1"/>
    <col min="4609" max="4609" width="11.109375" style="156" customWidth="1"/>
    <col min="4610" max="4610" width="4.109375" style="156" customWidth="1"/>
    <col min="4611" max="4611" width="11.109375" style="156" customWidth="1"/>
    <col min="4612" max="4612" width="2.88671875" style="156" customWidth="1"/>
    <col min="4613" max="4613" width="4.44140625" style="156" customWidth="1"/>
    <col min="4614" max="4614" width="2.88671875" style="156" customWidth="1"/>
    <col min="4615" max="4615" width="10" style="156" customWidth="1"/>
    <col min="4616" max="4616" width="11.5546875" style="156" customWidth="1"/>
    <col min="4617" max="4847" width="7" style="156"/>
    <col min="4848" max="4848" width="4.109375" style="156" customWidth="1"/>
    <col min="4849" max="4850" width="2.88671875" style="156" customWidth="1"/>
    <col min="4851" max="4851" width="4.44140625" style="156" customWidth="1"/>
    <col min="4852" max="4854" width="6.5546875" style="156" customWidth="1"/>
    <col min="4855" max="4855" width="9.44140625" style="156" customWidth="1"/>
    <col min="4856" max="4856" width="4.44140625" style="156" customWidth="1"/>
    <col min="4857" max="4857" width="12.88671875" style="156" customWidth="1"/>
    <col min="4858" max="4858" width="4.109375" style="156" customWidth="1"/>
    <col min="4859" max="4859" width="13.44140625" style="156" customWidth="1"/>
    <col min="4860" max="4860" width="2.88671875" style="156" customWidth="1"/>
    <col min="4861" max="4861" width="12.109375" style="156" customWidth="1"/>
    <col min="4862" max="4862" width="4.109375" style="156" customWidth="1"/>
    <col min="4863" max="4863" width="12.88671875" style="156" customWidth="1"/>
    <col min="4864" max="4864" width="4.109375" style="156" customWidth="1"/>
    <col min="4865" max="4865" width="11.109375" style="156" customWidth="1"/>
    <col min="4866" max="4866" width="4.109375" style="156" customWidth="1"/>
    <col min="4867" max="4867" width="11.109375" style="156" customWidth="1"/>
    <col min="4868" max="4868" width="2.88671875" style="156" customWidth="1"/>
    <col min="4869" max="4869" width="4.44140625" style="156" customWidth="1"/>
    <col min="4870" max="4870" width="2.88671875" style="156" customWidth="1"/>
    <col min="4871" max="4871" width="10" style="156" customWidth="1"/>
    <col min="4872" max="4872" width="11.5546875" style="156" customWidth="1"/>
    <col min="4873" max="5103" width="7" style="156"/>
    <col min="5104" max="5104" width="4.109375" style="156" customWidth="1"/>
    <col min="5105" max="5106" width="2.88671875" style="156" customWidth="1"/>
    <col min="5107" max="5107" width="4.44140625" style="156" customWidth="1"/>
    <col min="5108" max="5110" width="6.5546875" style="156" customWidth="1"/>
    <col min="5111" max="5111" width="9.44140625" style="156" customWidth="1"/>
    <col min="5112" max="5112" width="4.44140625" style="156" customWidth="1"/>
    <col min="5113" max="5113" width="12.88671875" style="156" customWidth="1"/>
    <col min="5114" max="5114" width="4.109375" style="156" customWidth="1"/>
    <col min="5115" max="5115" width="13.44140625" style="156" customWidth="1"/>
    <col min="5116" max="5116" width="2.88671875" style="156" customWidth="1"/>
    <col min="5117" max="5117" width="12.109375" style="156" customWidth="1"/>
    <col min="5118" max="5118" width="4.109375" style="156" customWidth="1"/>
    <col min="5119" max="5119" width="12.88671875" style="156" customWidth="1"/>
    <col min="5120" max="5120" width="4.109375" style="156" customWidth="1"/>
    <col min="5121" max="5121" width="11.109375" style="156" customWidth="1"/>
    <col min="5122" max="5122" width="4.109375" style="156" customWidth="1"/>
    <col min="5123" max="5123" width="11.109375" style="156" customWidth="1"/>
    <col min="5124" max="5124" width="2.88671875" style="156" customWidth="1"/>
    <col min="5125" max="5125" width="4.44140625" style="156" customWidth="1"/>
    <col min="5126" max="5126" width="2.88671875" style="156" customWidth="1"/>
    <col min="5127" max="5127" width="10" style="156" customWidth="1"/>
    <col min="5128" max="5128" width="11.5546875" style="156" customWidth="1"/>
    <col min="5129" max="5359" width="7" style="156"/>
    <col min="5360" max="5360" width="4.109375" style="156" customWidth="1"/>
    <col min="5361" max="5362" width="2.88671875" style="156" customWidth="1"/>
    <col min="5363" max="5363" width="4.44140625" style="156" customWidth="1"/>
    <col min="5364" max="5366" width="6.5546875" style="156" customWidth="1"/>
    <col min="5367" max="5367" width="9.44140625" style="156" customWidth="1"/>
    <col min="5368" max="5368" width="4.44140625" style="156" customWidth="1"/>
    <col min="5369" max="5369" width="12.88671875" style="156" customWidth="1"/>
    <col min="5370" max="5370" width="4.109375" style="156" customWidth="1"/>
    <col min="5371" max="5371" width="13.44140625" style="156" customWidth="1"/>
    <col min="5372" max="5372" width="2.88671875" style="156" customWidth="1"/>
    <col min="5373" max="5373" width="12.109375" style="156" customWidth="1"/>
    <col min="5374" max="5374" width="4.109375" style="156" customWidth="1"/>
    <col min="5375" max="5375" width="12.88671875" style="156" customWidth="1"/>
    <col min="5376" max="5376" width="4.109375" style="156" customWidth="1"/>
    <col min="5377" max="5377" width="11.109375" style="156" customWidth="1"/>
    <col min="5378" max="5378" width="4.109375" style="156" customWidth="1"/>
    <col min="5379" max="5379" width="11.109375" style="156" customWidth="1"/>
    <col min="5380" max="5380" width="2.88671875" style="156" customWidth="1"/>
    <col min="5381" max="5381" width="4.44140625" style="156" customWidth="1"/>
    <col min="5382" max="5382" width="2.88671875" style="156" customWidth="1"/>
    <col min="5383" max="5383" width="10" style="156" customWidth="1"/>
    <col min="5384" max="5384" width="11.5546875" style="156" customWidth="1"/>
    <col min="5385" max="5615" width="7" style="156"/>
    <col min="5616" max="5616" width="4.109375" style="156" customWidth="1"/>
    <col min="5617" max="5618" width="2.88671875" style="156" customWidth="1"/>
    <col min="5619" max="5619" width="4.44140625" style="156" customWidth="1"/>
    <col min="5620" max="5622" width="6.5546875" style="156" customWidth="1"/>
    <col min="5623" max="5623" width="9.44140625" style="156" customWidth="1"/>
    <col min="5624" max="5624" width="4.44140625" style="156" customWidth="1"/>
    <col min="5625" max="5625" width="12.88671875" style="156" customWidth="1"/>
    <col min="5626" max="5626" width="4.109375" style="156" customWidth="1"/>
    <col min="5627" max="5627" width="13.44140625" style="156" customWidth="1"/>
    <col min="5628" max="5628" width="2.88671875" style="156" customWidth="1"/>
    <col min="5629" max="5629" width="12.109375" style="156" customWidth="1"/>
    <col min="5630" max="5630" width="4.109375" style="156" customWidth="1"/>
    <col min="5631" max="5631" width="12.88671875" style="156" customWidth="1"/>
    <col min="5632" max="5632" width="4.109375" style="156" customWidth="1"/>
    <col min="5633" max="5633" width="11.109375" style="156" customWidth="1"/>
    <col min="5634" max="5634" width="4.109375" style="156" customWidth="1"/>
    <col min="5635" max="5635" width="11.109375" style="156" customWidth="1"/>
    <col min="5636" max="5636" width="2.88671875" style="156" customWidth="1"/>
    <col min="5637" max="5637" width="4.44140625" style="156" customWidth="1"/>
    <col min="5638" max="5638" width="2.88671875" style="156" customWidth="1"/>
    <col min="5639" max="5639" width="10" style="156" customWidth="1"/>
    <col min="5640" max="5640" width="11.5546875" style="156" customWidth="1"/>
    <col min="5641" max="5871" width="7" style="156"/>
    <col min="5872" max="5872" width="4.109375" style="156" customWidth="1"/>
    <col min="5873" max="5874" width="2.88671875" style="156" customWidth="1"/>
    <col min="5875" max="5875" width="4.44140625" style="156" customWidth="1"/>
    <col min="5876" max="5878" width="6.5546875" style="156" customWidth="1"/>
    <col min="5879" max="5879" width="9.44140625" style="156" customWidth="1"/>
    <col min="5880" max="5880" width="4.44140625" style="156" customWidth="1"/>
    <col min="5881" max="5881" width="12.88671875" style="156" customWidth="1"/>
    <col min="5882" max="5882" width="4.109375" style="156" customWidth="1"/>
    <col min="5883" max="5883" width="13.44140625" style="156" customWidth="1"/>
    <col min="5884" max="5884" width="2.88671875" style="156" customWidth="1"/>
    <col min="5885" max="5885" width="12.109375" style="156" customWidth="1"/>
    <col min="5886" max="5886" width="4.109375" style="156" customWidth="1"/>
    <col min="5887" max="5887" width="12.88671875" style="156" customWidth="1"/>
    <col min="5888" max="5888" width="4.109375" style="156" customWidth="1"/>
    <col min="5889" max="5889" width="11.109375" style="156" customWidth="1"/>
    <col min="5890" max="5890" width="4.109375" style="156" customWidth="1"/>
    <col min="5891" max="5891" width="11.109375" style="156" customWidth="1"/>
    <col min="5892" max="5892" width="2.88671875" style="156" customWidth="1"/>
    <col min="5893" max="5893" width="4.44140625" style="156" customWidth="1"/>
    <col min="5894" max="5894" width="2.88671875" style="156" customWidth="1"/>
    <col min="5895" max="5895" width="10" style="156" customWidth="1"/>
    <col min="5896" max="5896" width="11.5546875" style="156" customWidth="1"/>
    <col min="5897" max="6127" width="7" style="156"/>
    <col min="6128" max="6128" width="4.109375" style="156" customWidth="1"/>
    <col min="6129" max="6130" width="2.88671875" style="156" customWidth="1"/>
    <col min="6131" max="6131" width="4.44140625" style="156" customWidth="1"/>
    <col min="6132" max="6134" width="6.5546875" style="156" customWidth="1"/>
    <col min="6135" max="6135" width="9.44140625" style="156" customWidth="1"/>
    <col min="6136" max="6136" width="4.44140625" style="156" customWidth="1"/>
    <col min="6137" max="6137" width="12.88671875" style="156" customWidth="1"/>
    <col min="6138" max="6138" width="4.109375" style="156" customWidth="1"/>
    <col min="6139" max="6139" width="13.44140625" style="156" customWidth="1"/>
    <col min="6140" max="6140" width="2.88671875" style="156" customWidth="1"/>
    <col min="6141" max="6141" width="12.109375" style="156" customWidth="1"/>
    <col min="6142" max="6142" width="4.109375" style="156" customWidth="1"/>
    <col min="6143" max="6143" width="12.88671875" style="156" customWidth="1"/>
    <col min="6144" max="6144" width="4.109375" style="156" customWidth="1"/>
    <col min="6145" max="6145" width="11.109375" style="156" customWidth="1"/>
    <col min="6146" max="6146" width="4.109375" style="156" customWidth="1"/>
    <col min="6147" max="6147" width="11.109375" style="156" customWidth="1"/>
    <col min="6148" max="6148" width="2.88671875" style="156" customWidth="1"/>
    <col min="6149" max="6149" width="4.44140625" style="156" customWidth="1"/>
    <col min="6150" max="6150" width="2.88671875" style="156" customWidth="1"/>
    <col min="6151" max="6151" width="10" style="156" customWidth="1"/>
    <col min="6152" max="6152" width="11.5546875" style="156" customWidth="1"/>
    <col min="6153" max="6383" width="7" style="156"/>
    <col min="6384" max="6384" width="4.109375" style="156" customWidth="1"/>
    <col min="6385" max="6386" width="2.88671875" style="156" customWidth="1"/>
    <col min="6387" max="6387" width="4.44140625" style="156" customWidth="1"/>
    <col min="6388" max="6390" width="6.5546875" style="156" customWidth="1"/>
    <col min="6391" max="6391" width="9.44140625" style="156" customWidth="1"/>
    <col min="6392" max="6392" width="4.44140625" style="156" customWidth="1"/>
    <col min="6393" max="6393" width="12.88671875" style="156" customWidth="1"/>
    <col min="6394" max="6394" width="4.109375" style="156" customWidth="1"/>
    <col min="6395" max="6395" width="13.44140625" style="156" customWidth="1"/>
    <col min="6396" max="6396" width="2.88671875" style="156" customWidth="1"/>
    <col min="6397" max="6397" width="12.109375" style="156" customWidth="1"/>
    <col min="6398" max="6398" width="4.109375" style="156" customWidth="1"/>
    <col min="6399" max="6399" width="12.88671875" style="156" customWidth="1"/>
    <col min="6400" max="6400" width="4.109375" style="156" customWidth="1"/>
    <col min="6401" max="6401" width="11.109375" style="156" customWidth="1"/>
    <col min="6402" max="6402" width="4.109375" style="156" customWidth="1"/>
    <col min="6403" max="6403" width="11.109375" style="156" customWidth="1"/>
    <col min="6404" max="6404" width="2.88671875" style="156" customWidth="1"/>
    <col min="6405" max="6405" width="4.44140625" style="156" customWidth="1"/>
    <col min="6406" max="6406" width="2.88671875" style="156" customWidth="1"/>
    <col min="6407" max="6407" width="10" style="156" customWidth="1"/>
    <col min="6408" max="6408" width="11.5546875" style="156" customWidth="1"/>
    <col min="6409" max="6639" width="7" style="156"/>
    <col min="6640" max="6640" width="4.109375" style="156" customWidth="1"/>
    <col min="6641" max="6642" width="2.88671875" style="156" customWidth="1"/>
    <col min="6643" max="6643" width="4.44140625" style="156" customWidth="1"/>
    <col min="6644" max="6646" width="6.5546875" style="156" customWidth="1"/>
    <col min="6647" max="6647" width="9.44140625" style="156" customWidth="1"/>
    <col min="6648" max="6648" width="4.44140625" style="156" customWidth="1"/>
    <col min="6649" max="6649" width="12.88671875" style="156" customWidth="1"/>
    <col min="6650" max="6650" width="4.109375" style="156" customWidth="1"/>
    <col min="6651" max="6651" width="13.44140625" style="156" customWidth="1"/>
    <col min="6652" max="6652" width="2.88671875" style="156" customWidth="1"/>
    <col min="6653" max="6653" width="12.109375" style="156" customWidth="1"/>
    <col min="6654" max="6654" width="4.109375" style="156" customWidth="1"/>
    <col min="6655" max="6655" width="12.88671875" style="156" customWidth="1"/>
    <col min="6656" max="6656" width="4.109375" style="156" customWidth="1"/>
    <col min="6657" max="6657" width="11.109375" style="156" customWidth="1"/>
    <col min="6658" max="6658" width="4.109375" style="156" customWidth="1"/>
    <col min="6659" max="6659" width="11.109375" style="156" customWidth="1"/>
    <col min="6660" max="6660" width="2.88671875" style="156" customWidth="1"/>
    <col min="6661" max="6661" width="4.44140625" style="156" customWidth="1"/>
    <col min="6662" max="6662" width="2.88671875" style="156" customWidth="1"/>
    <col min="6663" max="6663" width="10" style="156" customWidth="1"/>
    <col min="6664" max="6664" width="11.5546875" style="156" customWidth="1"/>
    <col min="6665" max="6895" width="7" style="156"/>
    <col min="6896" max="6896" width="4.109375" style="156" customWidth="1"/>
    <col min="6897" max="6898" width="2.88671875" style="156" customWidth="1"/>
    <col min="6899" max="6899" width="4.44140625" style="156" customWidth="1"/>
    <col min="6900" max="6902" width="6.5546875" style="156" customWidth="1"/>
    <col min="6903" max="6903" width="9.44140625" style="156" customWidth="1"/>
    <col min="6904" max="6904" width="4.44140625" style="156" customWidth="1"/>
    <col min="6905" max="6905" width="12.88671875" style="156" customWidth="1"/>
    <col min="6906" max="6906" width="4.109375" style="156" customWidth="1"/>
    <col min="6907" max="6907" width="13.44140625" style="156" customWidth="1"/>
    <col min="6908" max="6908" width="2.88671875" style="156" customWidth="1"/>
    <col min="6909" max="6909" width="12.109375" style="156" customWidth="1"/>
    <col min="6910" max="6910" width="4.109375" style="156" customWidth="1"/>
    <col min="6911" max="6911" width="12.88671875" style="156" customWidth="1"/>
    <col min="6912" max="6912" width="4.109375" style="156" customWidth="1"/>
    <col min="6913" max="6913" width="11.109375" style="156" customWidth="1"/>
    <col min="6914" max="6914" width="4.109375" style="156" customWidth="1"/>
    <col min="6915" max="6915" width="11.109375" style="156" customWidth="1"/>
    <col min="6916" max="6916" width="2.88671875" style="156" customWidth="1"/>
    <col min="6917" max="6917" width="4.44140625" style="156" customWidth="1"/>
    <col min="6918" max="6918" width="2.88671875" style="156" customWidth="1"/>
    <col min="6919" max="6919" width="10" style="156" customWidth="1"/>
    <col min="6920" max="6920" width="11.5546875" style="156" customWidth="1"/>
    <col min="6921" max="7151" width="7" style="156"/>
    <col min="7152" max="7152" width="4.109375" style="156" customWidth="1"/>
    <col min="7153" max="7154" width="2.88671875" style="156" customWidth="1"/>
    <col min="7155" max="7155" width="4.44140625" style="156" customWidth="1"/>
    <col min="7156" max="7158" width="6.5546875" style="156" customWidth="1"/>
    <col min="7159" max="7159" width="9.44140625" style="156" customWidth="1"/>
    <col min="7160" max="7160" width="4.44140625" style="156" customWidth="1"/>
    <col min="7161" max="7161" width="12.88671875" style="156" customWidth="1"/>
    <col min="7162" max="7162" width="4.109375" style="156" customWidth="1"/>
    <col min="7163" max="7163" width="13.44140625" style="156" customWidth="1"/>
    <col min="7164" max="7164" width="2.88671875" style="156" customWidth="1"/>
    <col min="7165" max="7165" width="12.109375" style="156" customWidth="1"/>
    <col min="7166" max="7166" width="4.109375" style="156" customWidth="1"/>
    <col min="7167" max="7167" width="12.88671875" style="156" customWidth="1"/>
    <col min="7168" max="7168" width="4.109375" style="156" customWidth="1"/>
    <col min="7169" max="7169" width="11.109375" style="156" customWidth="1"/>
    <col min="7170" max="7170" width="4.109375" style="156" customWidth="1"/>
    <col min="7171" max="7171" width="11.109375" style="156" customWidth="1"/>
    <col min="7172" max="7172" width="2.88671875" style="156" customWidth="1"/>
    <col min="7173" max="7173" width="4.44140625" style="156" customWidth="1"/>
    <col min="7174" max="7174" width="2.88671875" style="156" customWidth="1"/>
    <col min="7175" max="7175" width="10" style="156" customWidth="1"/>
    <col min="7176" max="7176" width="11.5546875" style="156" customWidth="1"/>
    <col min="7177" max="7407" width="7" style="156"/>
    <col min="7408" max="7408" width="4.109375" style="156" customWidth="1"/>
    <col min="7409" max="7410" width="2.88671875" style="156" customWidth="1"/>
    <col min="7411" max="7411" width="4.44140625" style="156" customWidth="1"/>
    <col min="7412" max="7414" width="6.5546875" style="156" customWidth="1"/>
    <col min="7415" max="7415" width="9.44140625" style="156" customWidth="1"/>
    <col min="7416" max="7416" width="4.44140625" style="156" customWidth="1"/>
    <col min="7417" max="7417" width="12.88671875" style="156" customWidth="1"/>
    <col min="7418" max="7418" width="4.109375" style="156" customWidth="1"/>
    <col min="7419" max="7419" width="13.44140625" style="156" customWidth="1"/>
    <col min="7420" max="7420" width="2.88671875" style="156" customWidth="1"/>
    <col min="7421" max="7421" width="12.109375" style="156" customWidth="1"/>
    <col min="7422" max="7422" width="4.109375" style="156" customWidth="1"/>
    <col min="7423" max="7423" width="12.88671875" style="156" customWidth="1"/>
    <col min="7424" max="7424" width="4.109375" style="156" customWidth="1"/>
    <col min="7425" max="7425" width="11.109375" style="156" customWidth="1"/>
    <col min="7426" max="7426" width="4.109375" style="156" customWidth="1"/>
    <col min="7427" max="7427" width="11.109375" style="156" customWidth="1"/>
    <col min="7428" max="7428" width="2.88671875" style="156" customWidth="1"/>
    <col min="7429" max="7429" width="4.44140625" style="156" customWidth="1"/>
    <col min="7430" max="7430" width="2.88671875" style="156" customWidth="1"/>
    <col min="7431" max="7431" width="10" style="156" customWidth="1"/>
    <col min="7432" max="7432" width="11.5546875" style="156" customWidth="1"/>
    <col min="7433" max="7663" width="7" style="156"/>
    <col min="7664" max="7664" width="4.109375" style="156" customWidth="1"/>
    <col min="7665" max="7666" width="2.88671875" style="156" customWidth="1"/>
    <col min="7667" max="7667" width="4.44140625" style="156" customWidth="1"/>
    <col min="7668" max="7670" width="6.5546875" style="156" customWidth="1"/>
    <col min="7671" max="7671" width="9.44140625" style="156" customWidth="1"/>
    <col min="7672" max="7672" width="4.44140625" style="156" customWidth="1"/>
    <col min="7673" max="7673" width="12.88671875" style="156" customWidth="1"/>
    <col min="7674" max="7674" width="4.109375" style="156" customWidth="1"/>
    <col min="7675" max="7675" width="13.44140625" style="156" customWidth="1"/>
    <col min="7676" max="7676" width="2.88671875" style="156" customWidth="1"/>
    <col min="7677" max="7677" width="12.109375" style="156" customWidth="1"/>
    <col min="7678" max="7678" width="4.109375" style="156" customWidth="1"/>
    <col min="7679" max="7679" width="12.88671875" style="156" customWidth="1"/>
    <col min="7680" max="7680" width="4.109375" style="156" customWidth="1"/>
    <col min="7681" max="7681" width="11.109375" style="156" customWidth="1"/>
    <col min="7682" max="7682" width="4.109375" style="156" customWidth="1"/>
    <col min="7683" max="7683" width="11.109375" style="156" customWidth="1"/>
    <col min="7684" max="7684" width="2.88671875" style="156" customWidth="1"/>
    <col min="7685" max="7685" width="4.44140625" style="156" customWidth="1"/>
    <col min="7686" max="7686" width="2.88671875" style="156" customWidth="1"/>
    <col min="7687" max="7687" width="10" style="156" customWidth="1"/>
    <col min="7688" max="7688" width="11.5546875" style="156" customWidth="1"/>
    <col min="7689" max="7919" width="7" style="156"/>
    <col min="7920" max="7920" width="4.109375" style="156" customWidth="1"/>
    <col min="7921" max="7922" width="2.88671875" style="156" customWidth="1"/>
    <col min="7923" max="7923" width="4.44140625" style="156" customWidth="1"/>
    <col min="7924" max="7926" width="6.5546875" style="156" customWidth="1"/>
    <col min="7927" max="7927" width="9.44140625" style="156" customWidth="1"/>
    <col min="7928" max="7928" width="4.44140625" style="156" customWidth="1"/>
    <col min="7929" max="7929" width="12.88671875" style="156" customWidth="1"/>
    <col min="7930" max="7930" width="4.109375" style="156" customWidth="1"/>
    <col min="7931" max="7931" width="13.44140625" style="156" customWidth="1"/>
    <col min="7932" max="7932" width="2.88671875" style="156" customWidth="1"/>
    <col min="7933" max="7933" width="12.109375" style="156" customWidth="1"/>
    <col min="7934" max="7934" width="4.109375" style="156" customWidth="1"/>
    <col min="7935" max="7935" width="12.88671875" style="156" customWidth="1"/>
    <col min="7936" max="7936" width="4.109375" style="156" customWidth="1"/>
    <col min="7937" max="7937" width="11.109375" style="156" customWidth="1"/>
    <col min="7938" max="7938" width="4.109375" style="156" customWidth="1"/>
    <col min="7939" max="7939" width="11.109375" style="156" customWidth="1"/>
    <col min="7940" max="7940" width="2.88671875" style="156" customWidth="1"/>
    <col min="7941" max="7941" width="4.44140625" style="156" customWidth="1"/>
    <col min="7942" max="7942" width="2.88671875" style="156" customWidth="1"/>
    <col min="7943" max="7943" width="10" style="156" customWidth="1"/>
    <col min="7944" max="7944" width="11.5546875" style="156" customWidth="1"/>
    <col min="7945" max="8175" width="7" style="156"/>
    <col min="8176" max="8176" width="4.109375" style="156" customWidth="1"/>
    <col min="8177" max="8178" width="2.88671875" style="156" customWidth="1"/>
    <col min="8179" max="8179" width="4.44140625" style="156" customWidth="1"/>
    <col min="8180" max="8182" width="6.5546875" style="156" customWidth="1"/>
    <col min="8183" max="8183" width="9.44140625" style="156" customWidth="1"/>
    <col min="8184" max="8184" width="4.44140625" style="156" customWidth="1"/>
    <col min="8185" max="8185" width="12.88671875" style="156" customWidth="1"/>
    <col min="8186" max="8186" width="4.109375" style="156" customWidth="1"/>
    <col min="8187" max="8187" width="13.44140625" style="156" customWidth="1"/>
    <col min="8188" max="8188" width="2.88671875" style="156" customWidth="1"/>
    <col min="8189" max="8189" width="12.109375" style="156" customWidth="1"/>
    <col min="8190" max="8190" width="4.109375" style="156" customWidth="1"/>
    <col min="8191" max="8191" width="12.88671875" style="156" customWidth="1"/>
    <col min="8192" max="8192" width="4.109375" style="156" customWidth="1"/>
    <col min="8193" max="8193" width="11.109375" style="156" customWidth="1"/>
    <col min="8194" max="8194" width="4.109375" style="156" customWidth="1"/>
    <col min="8195" max="8195" width="11.109375" style="156" customWidth="1"/>
    <col min="8196" max="8196" width="2.88671875" style="156" customWidth="1"/>
    <col min="8197" max="8197" width="4.44140625" style="156" customWidth="1"/>
    <col min="8198" max="8198" width="2.88671875" style="156" customWidth="1"/>
    <col min="8199" max="8199" width="10" style="156" customWidth="1"/>
    <col min="8200" max="8200" width="11.5546875" style="156" customWidth="1"/>
    <col min="8201" max="8431" width="7" style="156"/>
    <col min="8432" max="8432" width="4.109375" style="156" customWidth="1"/>
    <col min="8433" max="8434" width="2.88671875" style="156" customWidth="1"/>
    <col min="8435" max="8435" width="4.44140625" style="156" customWidth="1"/>
    <col min="8436" max="8438" width="6.5546875" style="156" customWidth="1"/>
    <col min="8439" max="8439" width="9.44140625" style="156" customWidth="1"/>
    <col min="8440" max="8440" width="4.44140625" style="156" customWidth="1"/>
    <col min="8441" max="8441" width="12.88671875" style="156" customWidth="1"/>
    <col min="8442" max="8442" width="4.109375" style="156" customWidth="1"/>
    <col min="8443" max="8443" width="13.44140625" style="156" customWidth="1"/>
    <col min="8444" max="8444" width="2.88671875" style="156" customWidth="1"/>
    <col min="8445" max="8445" width="12.109375" style="156" customWidth="1"/>
    <col min="8446" max="8446" width="4.109375" style="156" customWidth="1"/>
    <col min="8447" max="8447" width="12.88671875" style="156" customWidth="1"/>
    <col min="8448" max="8448" width="4.109375" style="156" customWidth="1"/>
    <col min="8449" max="8449" width="11.109375" style="156" customWidth="1"/>
    <col min="8450" max="8450" width="4.109375" style="156" customWidth="1"/>
    <col min="8451" max="8451" width="11.109375" style="156" customWidth="1"/>
    <col min="8452" max="8452" width="2.88671875" style="156" customWidth="1"/>
    <col min="8453" max="8453" width="4.44140625" style="156" customWidth="1"/>
    <col min="8454" max="8454" width="2.88671875" style="156" customWidth="1"/>
    <col min="8455" max="8455" width="10" style="156" customWidth="1"/>
    <col min="8456" max="8456" width="11.5546875" style="156" customWidth="1"/>
    <col min="8457" max="8687" width="7" style="156"/>
    <col min="8688" max="8688" width="4.109375" style="156" customWidth="1"/>
    <col min="8689" max="8690" width="2.88671875" style="156" customWidth="1"/>
    <col min="8691" max="8691" width="4.44140625" style="156" customWidth="1"/>
    <col min="8692" max="8694" width="6.5546875" style="156" customWidth="1"/>
    <col min="8695" max="8695" width="9.44140625" style="156" customWidth="1"/>
    <col min="8696" max="8696" width="4.44140625" style="156" customWidth="1"/>
    <col min="8697" max="8697" width="12.88671875" style="156" customWidth="1"/>
    <col min="8698" max="8698" width="4.109375" style="156" customWidth="1"/>
    <col min="8699" max="8699" width="13.44140625" style="156" customWidth="1"/>
    <col min="8700" max="8700" width="2.88671875" style="156" customWidth="1"/>
    <col min="8701" max="8701" width="12.109375" style="156" customWidth="1"/>
    <col min="8702" max="8702" width="4.109375" style="156" customWidth="1"/>
    <col min="8703" max="8703" width="12.88671875" style="156" customWidth="1"/>
    <col min="8704" max="8704" width="4.109375" style="156" customWidth="1"/>
    <col min="8705" max="8705" width="11.109375" style="156" customWidth="1"/>
    <col min="8706" max="8706" width="4.109375" style="156" customWidth="1"/>
    <col min="8707" max="8707" width="11.109375" style="156" customWidth="1"/>
    <col min="8708" max="8708" width="2.88671875" style="156" customWidth="1"/>
    <col min="8709" max="8709" width="4.44140625" style="156" customWidth="1"/>
    <col min="8710" max="8710" width="2.88671875" style="156" customWidth="1"/>
    <col min="8711" max="8711" width="10" style="156" customWidth="1"/>
    <col min="8712" max="8712" width="11.5546875" style="156" customWidth="1"/>
    <col min="8713" max="8943" width="7" style="156"/>
    <col min="8944" max="8944" width="4.109375" style="156" customWidth="1"/>
    <col min="8945" max="8946" width="2.88671875" style="156" customWidth="1"/>
    <col min="8947" max="8947" width="4.44140625" style="156" customWidth="1"/>
    <col min="8948" max="8950" width="6.5546875" style="156" customWidth="1"/>
    <col min="8951" max="8951" width="9.44140625" style="156" customWidth="1"/>
    <col min="8952" max="8952" width="4.44140625" style="156" customWidth="1"/>
    <col min="8953" max="8953" width="12.88671875" style="156" customWidth="1"/>
    <col min="8954" max="8954" width="4.109375" style="156" customWidth="1"/>
    <col min="8955" max="8955" width="13.44140625" style="156" customWidth="1"/>
    <col min="8956" max="8956" width="2.88671875" style="156" customWidth="1"/>
    <col min="8957" max="8957" width="12.109375" style="156" customWidth="1"/>
    <col min="8958" max="8958" width="4.109375" style="156" customWidth="1"/>
    <col min="8959" max="8959" width="12.88671875" style="156" customWidth="1"/>
    <col min="8960" max="8960" width="4.109375" style="156" customWidth="1"/>
    <col min="8961" max="8961" width="11.109375" style="156" customWidth="1"/>
    <col min="8962" max="8962" width="4.109375" style="156" customWidth="1"/>
    <col min="8963" max="8963" width="11.109375" style="156" customWidth="1"/>
    <col min="8964" max="8964" width="2.88671875" style="156" customWidth="1"/>
    <col min="8965" max="8965" width="4.44140625" style="156" customWidth="1"/>
    <col min="8966" max="8966" width="2.88671875" style="156" customWidth="1"/>
    <col min="8967" max="8967" width="10" style="156" customWidth="1"/>
    <col min="8968" max="8968" width="11.5546875" style="156" customWidth="1"/>
    <col min="8969" max="9199" width="7" style="156"/>
    <col min="9200" max="9200" width="4.109375" style="156" customWidth="1"/>
    <col min="9201" max="9202" width="2.88671875" style="156" customWidth="1"/>
    <col min="9203" max="9203" width="4.44140625" style="156" customWidth="1"/>
    <col min="9204" max="9206" width="6.5546875" style="156" customWidth="1"/>
    <col min="9207" max="9207" width="9.44140625" style="156" customWidth="1"/>
    <col min="9208" max="9208" width="4.44140625" style="156" customWidth="1"/>
    <col min="9209" max="9209" width="12.88671875" style="156" customWidth="1"/>
    <col min="9210" max="9210" width="4.109375" style="156" customWidth="1"/>
    <col min="9211" max="9211" width="13.44140625" style="156" customWidth="1"/>
    <col min="9212" max="9212" width="2.88671875" style="156" customWidth="1"/>
    <col min="9213" max="9213" width="12.109375" style="156" customWidth="1"/>
    <col min="9214" max="9214" width="4.109375" style="156" customWidth="1"/>
    <col min="9215" max="9215" width="12.88671875" style="156" customWidth="1"/>
    <col min="9216" max="9216" width="4.109375" style="156" customWidth="1"/>
    <col min="9217" max="9217" width="11.109375" style="156" customWidth="1"/>
    <col min="9218" max="9218" width="4.109375" style="156" customWidth="1"/>
    <col min="9219" max="9219" width="11.109375" style="156" customWidth="1"/>
    <col min="9220" max="9220" width="2.88671875" style="156" customWidth="1"/>
    <col min="9221" max="9221" width="4.44140625" style="156" customWidth="1"/>
    <col min="9222" max="9222" width="2.88671875" style="156" customWidth="1"/>
    <col min="9223" max="9223" width="10" style="156" customWidth="1"/>
    <col min="9224" max="9224" width="11.5546875" style="156" customWidth="1"/>
    <col min="9225" max="9455" width="7" style="156"/>
    <col min="9456" max="9456" width="4.109375" style="156" customWidth="1"/>
    <col min="9457" max="9458" width="2.88671875" style="156" customWidth="1"/>
    <col min="9459" max="9459" width="4.44140625" style="156" customWidth="1"/>
    <col min="9460" max="9462" width="6.5546875" style="156" customWidth="1"/>
    <col min="9463" max="9463" width="9.44140625" style="156" customWidth="1"/>
    <col min="9464" max="9464" width="4.44140625" style="156" customWidth="1"/>
    <col min="9465" max="9465" width="12.88671875" style="156" customWidth="1"/>
    <col min="9466" max="9466" width="4.109375" style="156" customWidth="1"/>
    <col min="9467" max="9467" width="13.44140625" style="156" customWidth="1"/>
    <col min="9468" max="9468" width="2.88671875" style="156" customWidth="1"/>
    <col min="9469" max="9469" width="12.109375" style="156" customWidth="1"/>
    <col min="9470" max="9470" width="4.109375" style="156" customWidth="1"/>
    <col min="9471" max="9471" width="12.88671875" style="156" customWidth="1"/>
    <col min="9472" max="9472" width="4.109375" style="156" customWidth="1"/>
    <col min="9473" max="9473" width="11.109375" style="156" customWidth="1"/>
    <col min="9474" max="9474" width="4.109375" style="156" customWidth="1"/>
    <col min="9475" max="9475" width="11.109375" style="156" customWidth="1"/>
    <col min="9476" max="9476" width="2.88671875" style="156" customWidth="1"/>
    <col min="9477" max="9477" width="4.44140625" style="156" customWidth="1"/>
    <col min="9478" max="9478" width="2.88671875" style="156" customWidth="1"/>
    <col min="9479" max="9479" width="10" style="156" customWidth="1"/>
    <col min="9480" max="9480" width="11.5546875" style="156" customWidth="1"/>
    <col min="9481" max="9711" width="7" style="156"/>
    <col min="9712" max="9712" width="4.109375" style="156" customWidth="1"/>
    <col min="9713" max="9714" width="2.88671875" style="156" customWidth="1"/>
    <col min="9715" max="9715" width="4.44140625" style="156" customWidth="1"/>
    <col min="9716" max="9718" width="6.5546875" style="156" customWidth="1"/>
    <col min="9719" max="9719" width="9.44140625" style="156" customWidth="1"/>
    <col min="9720" max="9720" width="4.44140625" style="156" customWidth="1"/>
    <col min="9721" max="9721" width="12.88671875" style="156" customWidth="1"/>
    <col min="9722" max="9722" width="4.109375" style="156" customWidth="1"/>
    <col min="9723" max="9723" width="13.44140625" style="156" customWidth="1"/>
    <col min="9724" max="9724" width="2.88671875" style="156" customWidth="1"/>
    <col min="9725" max="9725" width="12.109375" style="156" customWidth="1"/>
    <col min="9726" max="9726" width="4.109375" style="156" customWidth="1"/>
    <col min="9727" max="9727" width="12.88671875" style="156" customWidth="1"/>
    <col min="9728" max="9728" width="4.109375" style="156" customWidth="1"/>
    <col min="9729" max="9729" width="11.109375" style="156" customWidth="1"/>
    <col min="9730" max="9730" width="4.109375" style="156" customWidth="1"/>
    <col min="9731" max="9731" width="11.109375" style="156" customWidth="1"/>
    <col min="9732" max="9732" width="2.88671875" style="156" customWidth="1"/>
    <col min="9733" max="9733" width="4.44140625" style="156" customWidth="1"/>
    <col min="9734" max="9734" width="2.88671875" style="156" customWidth="1"/>
    <col min="9735" max="9735" width="10" style="156" customWidth="1"/>
    <col min="9736" max="9736" width="11.5546875" style="156" customWidth="1"/>
    <col min="9737" max="9967" width="7" style="156"/>
    <col min="9968" max="9968" width="4.109375" style="156" customWidth="1"/>
    <col min="9969" max="9970" width="2.88671875" style="156" customWidth="1"/>
    <col min="9971" max="9971" width="4.44140625" style="156" customWidth="1"/>
    <col min="9972" max="9974" width="6.5546875" style="156" customWidth="1"/>
    <col min="9975" max="9975" width="9.44140625" style="156" customWidth="1"/>
    <col min="9976" max="9976" width="4.44140625" style="156" customWidth="1"/>
    <col min="9977" max="9977" width="12.88671875" style="156" customWidth="1"/>
    <col min="9978" max="9978" width="4.109375" style="156" customWidth="1"/>
    <col min="9979" max="9979" width="13.44140625" style="156" customWidth="1"/>
    <col min="9980" max="9980" width="2.88671875" style="156" customWidth="1"/>
    <col min="9981" max="9981" width="12.109375" style="156" customWidth="1"/>
    <col min="9982" max="9982" width="4.109375" style="156" customWidth="1"/>
    <col min="9983" max="9983" width="12.88671875" style="156" customWidth="1"/>
    <col min="9984" max="9984" width="4.109375" style="156" customWidth="1"/>
    <col min="9985" max="9985" width="11.109375" style="156" customWidth="1"/>
    <col min="9986" max="9986" width="4.109375" style="156" customWidth="1"/>
    <col min="9987" max="9987" width="11.109375" style="156" customWidth="1"/>
    <col min="9988" max="9988" width="2.88671875" style="156" customWidth="1"/>
    <col min="9989" max="9989" width="4.44140625" style="156" customWidth="1"/>
    <col min="9990" max="9990" width="2.88671875" style="156" customWidth="1"/>
    <col min="9991" max="9991" width="10" style="156" customWidth="1"/>
    <col min="9992" max="9992" width="11.5546875" style="156" customWidth="1"/>
    <col min="9993" max="10223" width="7" style="156"/>
    <col min="10224" max="10224" width="4.109375" style="156" customWidth="1"/>
    <col min="10225" max="10226" width="2.88671875" style="156" customWidth="1"/>
    <col min="10227" max="10227" width="4.44140625" style="156" customWidth="1"/>
    <col min="10228" max="10230" width="6.5546875" style="156" customWidth="1"/>
    <col min="10231" max="10231" width="9.44140625" style="156" customWidth="1"/>
    <col min="10232" max="10232" width="4.44140625" style="156" customWidth="1"/>
    <col min="10233" max="10233" width="12.88671875" style="156" customWidth="1"/>
    <col min="10234" max="10234" width="4.109375" style="156" customWidth="1"/>
    <col min="10235" max="10235" width="13.44140625" style="156" customWidth="1"/>
    <col min="10236" max="10236" width="2.88671875" style="156" customWidth="1"/>
    <col min="10237" max="10237" width="12.109375" style="156" customWidth="1"/>
    <col min="10238" max="10238" width="4.109375" style="156" customWidth="1"/>
    <col min="10239" max="10239" width="12.88671875" style="156" customWidth="1"/>
    <col min="10240" max="10240" width="4.109375" style="156" customWidth="1"/>
    <col min="10241" max="10241" width="11.109375" style="156" customWidth="1"/>
    <col min="10242" max="10242" width="4.109375" style="156" customWidth="1"/>
    <col min="10243" max="10243" width="11.109375" style="156" customWidth="1"/>
    <col min="10244" max="10244" width="2.88671875" style="156" customWidth="1"/>
    <col min="10245" max="10245" width="4.44140625" style="156" customWidth="1"/>
    <col min="10246" max="10246" width="2.88671875" style="156" customWidth="1"/>
    <col min="10247" max="10247" width="10" style="156" customWidth="1"/>
    <col min="10248" max="10248" width="11.5546875" style="156" customWidth="1"/>
    <col min="10249" max="10479" width="7" style="156"/>
    <col min="10480" max="10480" width="4.109375" style="156" customWidth="1"/>
    <col min="10481" max="10482" width="2.88671875" style="156" customWidth="1"/>
    <col min="10483" max="10483" width="4.44140625" style="156" customWidth="1"/>
    <col min="10484" max="10486" width="6.5546875" style="156" customWidth="1"/>
    <col min="10487" max="10487" width="9.44140625" style="156" customWidth="1"/>
    <col min="10488" max="10488" width="4.44140625" style="156" customWidth="1"/>
    <col min="10489" max="10489" width="12.88671875" style="156" customWidth="1"/>
    <col min="10490" max="10490" width="4.109375" style="156" customWidth="1"/>
    <col min="10491" max="10491" width="13.44140625" style="156" customWidth="1"/>
    <col min="10492" max="10492" width="2.88671875" style="156" customWidth="1"/>
    <col min="10493" max="10493" width="12.109375" style="156" customWidth="1"/>
    <col min="10494" max="10494" width="4.109375" style="156" customWidth="1"/>
    <col min="10495" max="10495" width="12.88671875" style="156" customWidth="1"/>
    <col min="10496" max="10496" width="4.109375" style="156" customWidth="1"/>
    <col min="10497" max="10497" width="11.109375" style="156" customWidth="1"/>
    <col min="10498" max="10498" width="4.109375" style="156" customWidth="1"/>
    <col min="10499" max="10499" width="11.109375" style="156" customWidth="1"/>
    <col min="10500" max="10500" width="2.88671875" style="156" customWidth="1"/>
    <col min="10501" max="10501" width="4.44140625" style="156" customWidth="1"/>
    <col min="10502" max="10502" width="2.88671875" style="156" customWidth="1"/>
    <col min="10503" max="10503" width="10" style="156" customWidth="1"/>
    <col min="10504" max="10504" width="11.5546875" style="156" customWidth="1"/>
    <col min="10505" max="10735" width="7" style="156"/>
    <col min="10736" max="10736" width="4.109375" style="156" customWidth="1"/>
    <col min="10737" max="10738" width="2.88671875" style="156" customWidth="1"/>
    <col min="10739" max="10739" width="4.44140625" style="156" customWidth="1"/>
    <col min="10740" max="10742" width="6.5546875" style="156" customWidth="1"/>
    <col min="10743" max="10743" width="9.44140625" style="156" customWidth="1"/>
    <col min="10744" max="10744" width="4.44140625" style="156" customWidth="1"/>
    <col min="10745" max="10745" width="12.88671875" style="156" customWidth="1"/>
    <col min="10746" max="10746" width="4.109375" style="156" customWidth="1"/>
    <col min="10747" max="10747" width="13.44140625" style="156" customWidth="1"/>
    <col min="10748" max="10748" width="2.88671875" style="156" customWidth="1"/>
    <col min="10749" max="10749" width="12.109375" style="156" customWidth="1"/>
    <col min="10750" max="10750" width="4.109375" style="156" customWidth="1"/>
    <col min="10751" max="10751" width="12.88671875" style="156" customWidth="1"/>
    <col min="10752" max="10752" width="4.109375" style="156" customWidth="1"/>
    <col min="10753" max="10753" width="11.109375" style="156" customWidth="1"/>
    <col min="10754" max="10754" width="4.109375" style="156" customWidth="1"/>
    <col min="10755" max="10755" width="11.109375" style="156" customWidth="1"/>
    <col min="10756" max="10756" width="2.88671875" style="156" customWidth="1"/>
    <col min="10757" max="10757" width="4.44140625" style="156" customWidth="1"/>
    <col min="10758" max="10758" width="2.88671875" style="156" customWidth="1"/>
    <col min="10759" max="10759" width="10" style="156" customWidth="1"/>
    <col min="10760" max="10760" width="11.5546875" style="156" customWidth="1"/>
    <col min="10761" max="10991" width="7" style="156"/>
    <col min="10992" max="10992" width="4.109375" style="156" customWidth="1"/>
    <col min="10993" max="10994" width="2.88671875" style="156" customWidth="1"/>
    <col min="10995" max="10995" width="4.44140625" style="156" customWidth="1"/>
    <col min="10996" max="10998" width="6.5546875" style="156" customWidth="1"/>
    <col min="10999" max="10999" width="9.44140625" style="156" customWidth="1"/>
    <col min="11000" max="11000" width="4.44140625" style="156" customWidth="1"/>
    <col min="11001" max="11001" width="12.88671875" style="156" customWidth="1"/>
    <col min="11002" max="11002" width="4.109375" style="156" customWidth="1"/>
    <col min="11003" max="11003" width="13.44140625" style="156" customWidth="1"/>
    <col min="11004" max="11004" width="2.88671875" style="156" customWidth="1"/>
    <col min="11005" max="11005" width="12.109375" style="156" customWidth="1"/>
    <col min="11006" max="11006" width="4.109375" style="156" customWidth="1"/>
    <col min="11007" max="11007" width="12.88671875" style="156" customWidth="1"/>
    <col min="11008" max="11008" width="4.109375" style="156" customWidth="1"/>
    <col min="11009" max="11009" width="11.109375" style="156" customWidth="1"/>
    <col min="11010" max="11010" width="4.109375" style="156" customWidth="1"/>
    <col min="11011" max="11011" width="11.109375" style="156" customWidth="1"/>
    <col min="11012" max="11012" width="2.88671875" style="156" customWidth="1"/>
    <col min="11013" max="11013" width="4.44140625" style="156" customWidth="1"/>
    <col min="11014" max="11014" width="2.88671875" style="156" customWidth="1"/>
    <col min="11015" max="11015" width="10" style="156" customWidth="1"/>
    <col min="11016" max="11016" width="11.5546875" style="156" customWidth="1"/>
    <col min="11017" max="11247" width="7" style="156"/>
    <col min="11248" max="11248" width="4.109375" style="156" customWidth="1"/>
    <col min="11249" max="11250" width="2.88671875" style="156" customWidth="1"/>
    <col min="11251" max="11251" width="4.44140625" style="156" customWidth="1"/>
    <col min="11252" max="11254" width="6.5546875" style="156" customWidth="1"/>
    <col min="11255" max="11255" width="9.44140625" style="156" customWidth="1"/>
    <col min="11256" max="11256" width="4.44140625" style="156" customWidth="1"/>
    <col min="11257" max="11257" width="12.88671875" style="156" customWidth="1"/>
    <col min="11258" max="11258" width="4.109375" style="156" customWidth="1"/>
    <col min="11259" max="11259" width="13.44140625" style="156" customWidth="1"/>
    <col min="11260" max="11260" width="2.88671875" style="156" customWidth="1"/>
    <col min="11261" max="11261" width="12.109375" style="156" customWidth="1"/>
    <col min="11262" max="11262" width="4.109375" style="156" customWidth="1"/>
    <col min="11263" max="11263" width="12.88671875" style="156" customWidth="1"/>
    <col min="11264" max="11264" width="4.109375" style="156" customWidth="1"/>
    <col min="11265" max="11265" width="11.109375" style="156" customWidth="1"/>
    <col min="11266" max="11266" width="4.109375" style="156" customWidth="1"/>
    <col min="11267" max="11267" width="11.109375" style="156" customWidth="1"/>
    <col min="11268" max="11268" width="2.88671875" style="156" customWidth="1"/>
    <col min="11269" max="11269" width="4.44140625" style="156" customWidth="1"/>
    <col min="11270" max="11270" width="2.88671875" style="156" customWidth="1"/>
    <col min="11271" max="11271" width="10" style="156" customWidth="1"/>
    <col min="11272" max="11272" width="11.5546875" style="156" customWidth="1"/>
    <col min="11273" max="11503" width="7" style="156"/>
    <col min="11504" max="11504" width="4.109375" style="156" customWidth="1"/>
    <col min="11505" max="11506" width="2.88671875" style="156" customWidth="1"/>
    <col min="11507" max="11507" width="4.44140625" style="156" customWidth="1"/>
    <col min="11508" max="11510" width="6.5546875" style="156" customWidth="1"/>
    <col min="11511" max="11511" width="9.44140625" style="156" customWidth="1"/>
    <col min="11512" max="11512" width="4.44140625" style="156" customWidth="1"/>
    <col min="11513" max="11513" width="12.88671875" style="156" customWidth="1"/>
    <col min="11514" max="11514" width="4.109375" style="156" customWidth="1"/>
    <col min="11515" max="11515" width="13.44140625" style="156" customWidth="1"/>
    <col min="11516" max="11516" width="2.88671875" style="156" customWidth="1"/>
    <col min="11517" max="11517" width="12.109375" style="156" customWidth="1"/>
    <col min="11518" max="11518" width="4.109375" style="156" customWidth="1"/>
    <col min="11519" max="11519" width="12.88671875" style="156" customWidth="1"/>
    <col min="11520" max="11520" width="4.109375" style="156" customWidth="1"/>
    <col min="11521" max="11521" width="11.109375" style="156" customWidth="1"/>
    <col min="11522" max="11522" width="4.109375" style="156" customWidth="1"/>
    <col min="11523" max="11523" width="11.109375" style="156" customWidth="1"/>
    <col min="11524" max="11524" width="2.88671875" style="156" customWidth="1"/>
    <col min="11525" max="11525" width="4.44140625" style="156" customWidth="1"/>
    <col min="11526" max="11526" width="2.88671875" style="156" customWidth="1"/>
    <col min="11527" max="11527" width="10" style="156" customWidth="1"/>
    <col min="11528" max="11528" width="11.5546875" style="156" customWidth="1"/>
    <col min="11529" max="11759" width="7" style="156"/>
    <col min="11760" max="11760" width="4.109375" style="156" customWidth="1"/>
    <col min="11761" max="11762" width="2.88671875" style="156" customWidth="1"/>
    <col min="11763" max="11763" width="4.44140625" style="156" customWidth="1"/>
    <col min="11764" max="11766" width="6.5546875" style="156" customWidth="1"/>
    <col min="11767" max="11767" width="9.44140625" style="156" customWidth="1"/>
    <col min="11768" max="11768" width="4.44140625" style="156" customWidth="1"/>
    <col min="11769" max="11769" width="12.88671875" style="156" customWidth="1"/>
    <col min="11770" max="11770" width="4.109375" style="156" customWidth="1"/>
    <col min="11771" max="11771" width="13.44140625" style="156" customWidth="1"/>
    <col min="11772" max="11772" width="2.88671875" style="156" customWidth="1"/>
    <col min="11773" max="11773" width="12.109375" style="156" customWidth="1"/>
    <col min="11774" max="11774" width="4.109375" style="156" customWidth="1"/>
    <col min="11775" max="11775" width="12.88671875" style="156" customWidth="1"/>
    <col min="11776" max="11776" width="4.109375" style="156" customWidth="1"/>
    <col min="11777" max="11777" width="11.109375" style="156" customWidth="1"/>
    <col min="11778" max="11778" width="4.109375" style="156" customWidth="1"/>
    <col min="11779" max="11779" width="11.109375" style="156" customWidth="1"/>
    <col min="11780" max="11780" width="2.88671875" style="156" customWidth="1"/>
    <col min="11781" max="11781" width="4.44140625" style="156" customWidth="1"/>
    <col min="11782" max="11782" width="2.88671875" style="156" customWidth="1"/>
    <col min="11783" max="11783" width="10" style="156" customWidth="1"/>
    <col min="11784" max="11784" width="11.5546875" style="156" customWidth="1"/>
    <col min="11785" max="12015" width="7" style="156"/>
    <col min="12016" max="12016" width="4.109375" style="156" customWidth="1"/>
    <col min="12017" max="12018" width="2.88671875" style="156" customWidth="1"/>
    <col min="12019" max="12019" width="4.44140625" style="156" customWidth="1"/>
    <col min="12020" max="12022" width="6.5546875" style="156" customWidth="1"/>
    <col min="12023" max="12023" width="9.44140625" style="156" customWidth="1"/>
    <col min="12024" max="12024" width="4.44140625" style="156" customWidth="1"/>
    <col min="12025" max="12025" width="12.88671875" style="156" customWidth="1"/>
    <col min="12026" max="12026" width="4.109375" style="156" customWidth="1"/>
    <col min="12027" max="12027" width="13.44140625" style="156" customWidth="1"/>
    <col min="12028" max="12028" width="2.88671875" style="156" customWidth="1"/>
    <col min="12029" max="12029" width="12.109375" style="156" customWidth="1"/>
    <col min="12030" max="12030" width="4.109375" style="156" customWidth="1"/>
    <col min="12031" max="12031" width="12.88671875" style="156" customWidth="1"/>
    <col min="12032" max="12032" width="4.109375" style="156" customWidth="1"/>
    <col min="12033" max="12033" width="11.109375" style="156" customWidth="1"/>
    <col min="12034" max="12034" width="4.109375" style="156" customWidth="1"/>
    <col min="12035" max="12035" width="11.109375" style="156" customWidth="1"/>
    <col min="12036" max="12036" width="2.88671875" style="156" customWidth="1"/>
    <col min="12037" max="12037" width="4.44140625" style="156" customWidth="1"/>
    <col min="12038" max="12038" width="2.88671875" style="156" customWidth="1"/>
    <col min="12039" max="12039" width="10" style="156" customWidth="1"/>
    <col min="12040" max="12040" width="11.5546875" style="156" customWidth="1"/>
    <col min="12041" max="12271" width="7" style="156"/>
    <col min="12272" max="12272" width="4.109375" style="156" customWidth="1"/>
    <col min="12273" max="12274" width="2.88671875" style="156" customWidth="1"/>
    <col min="12275" max="12275" width="4.44140625" style="156" customWidth="1"/>
    <col min="12276" max="12278" width="6.5546875" style="156" customWidth="1"/>
    <col min="12279" max="12279" width="9.44140625" style="156" customWidth="1"/>
    <col min="12280" max="12280" width="4.44140625" style="156" customWidth="1"/>
    <col min="12281" max="12281" width="12.88671875" style="156" customWidth="1"/>
    <col min="12282" max="12282" width="4.109375" style="156" customWidth="1"/>
    <col min="12283" max="12283" width="13.44140625" style="156" customWidth="1"/>
    <col min="12284" max="12284" width="2.88671875" style="156" customWidth="1"/>
    <col min="12285" max="12285" width="12.109375" style="156" customWidth="1"/>
    <col min="12286" max="12286" width="4.109375" style="156" customWidth="1"/>
    <col min="12287" max="12287" width="12.88671875" style="156" customWidth="1"/>
    <col min="12288" max="12288" width="4.109375" style="156" customWidth="1"/>
    <col min="12289" max="12289" width="11.109375" style="156" customWidth="1"/>
    <col min="12290" max="12290" width="4.109375" style="156" customWidth="1"/>
    <col min="12291" max="12291" width="11.109375" style="156" customWidth="1"/>
    <col min="12292" max="12292" width="2.88671875" style="156" customWidth="1"/>
    <col min="12293" max="12293" width="4.44140625" style="156" customWidth="1"/>
    <col min="12294" max="12294" width="2.88671875" style="156" customWidth="1"/>
    <col min="12295" max="12295" width="10" style="156" customWidth="1"/>
    <col min="12296" max="12296" width="11.5546875" style="156" customWidth="1"/>
    <col min="12297" max="12527" width="7" style="156"/>
    <col min="12528" max="12528" width="4.109375" style="156" customWidth="1"/>
    <col min="12529" max="12530" width="2.88671875" style="156" customWidth="1"/>
    <col min="12531" max="12531" width="4.44140625" style="156" customWidth="1"/>
    <col min="12532" max="12534" width="6.5546875" style="156" customWidth="1"/>
    <col min="12535" max="12535" width="9.44140625" style="156" customWidth="1"/>
    <col min="12536" max="12536" width="4.44140625" style="156" customWidth="1"/>
    <col min="12537" max="12537" width="12.88671875" style="156" customWidth="1"/>
    <col min="12538" max="12538" width="4.109375" style="156" customWidth="1"/>
    <col min="12539" max="12539" width="13.44140625" style="156" customWidth="1"/>
    <col min="12540" max="12540" width="2.88671875" style="156" customWidth="1"/>
    <col min="12541" max="12541" width="12.109375" style="156" customWidth="1"/>
    <col min="12542" max="12542" width="4.109375" style="156" customWidth="1"/>
    <col min="12543" max="12543" width="12.88671875" style="156" customWidth="1"/>
    <col min="12544" max="12544" width="4.109375" style="156" customWidth="1"/>
    <col min="12545" max="12545" width="11.109375" style="156" customWidth="1"/>
    <col min="12546" max="12546" width="4.109375" style="156" customWidth="1"/>
    <col min="12547" max="12547" width="11.109375" style="156" customWidth="1"/>
    <col min="12548" max="12548" width="2.88671875" style="156" customWidth="1"/>
    <col min="12549" max="12549" width="4.44140625" style="156" customWidth="1"/>
    <col min="12550" max="12550" width="2.88671875" style="156" customWidth="1"/>
    <col min="12551" max="12551" width="10" style="156" customWidth="1"/>
    <col min="12552" max="12552" width="11.5546875" style="156" customWidth="1"/>
    <col min="12553" max="12783" width="7" style="156"/>
    <col min="12784" max="12784" width="4.109375" style="156" customWidth="1"/>
    <col min="12785" max="12786" width="2.88671875" style="156" customWidth="1"/>
    <col min="12787" max="12787" width="4.44140625" style="156" customWidth="1"/>
    <col min="12788" max="12790" width="6.5546875" style="156" customWidth="1"/>
    <col min="12791" max="12791" width="9.44140625" style="156" customWidth="1"/>
    <col min="12792" max="12792" width="4.44140625" style="156" customWidth="1"/>
    <col min="12793" max="12793" width="12.88671875" style="156" customWidth="1"/>
    <col min="12794" max="12794" width="4.109375" style="156" customWidth="1"/>
    <col min="12795" max="12795" width="13.44140625" style="156" customWidth="1"/>
    <col min="12796" max="12796" width="2.88671875" style="156" customWidth="1"/>
    <col min="12797" max="12797" width="12.109375" style="156" customWidth="1"/>
    <col min="12798" max="12798" width="4.109375" style="156" customWidth="1"/>
    <col min="12799" max="12799" width="12.88671875" style="156" customWidth="1"/>
    <col min="12800" max="12800" width="4.109375" style="156" customWidth="1"/>
    <col min="12801" max="12801" width="11.109375" style="156" customWidth="1"/>
    <col min="12802" max="12802" width="4.109375" style="156" customWidth="1"/>
    <col min="12803" max="12803" width="11.109375" style="156" customWidth="1"/>
    <col min="12804" max="12804" width="2.88671875" style="156" customWidth="1"/>
    <col min="12805" max="12805" width="4.44140625" style="156" customWidth="1"/>
    <col min="12806" max="12806" width="2.88671875" style="156" customWidth="1"/>
    <col min="12807" max="12807" width="10" style="156" customWidth="1"/>
    <col min="12808" max="12808" width="11.5546875" style="156" customWidth="1"/>
    <col min="12809" max="13039" width="7" style="156"/>
    <col min="13040" max="13040" width="4.109375" style="156" customWidth="1"/>
    <col min="13041" max="13042" width="2.88671875" style="156" customWidth="1"/>
    <col min="13043" max="13043" width="4.44140625" style="156" customWidth="1"/>
    <col min="13044" max="13046" width="6.5546875" style="156" customWidth="1"/>
    <col min="13047" max="13047" width="9.44140625" style="156" customWidth="1"/>
    <col min="13048" max="13048" width="4.44140625" style="156" customWidth="1"/>
    <col min="13049" max="13049" width="12.88671875" style="156" customWidth="1"/>
    <col min="13050" max="13050" width="4.109375" style="156" customWidth="1"/>
    <col min="13051" max="13051" width="13.44140625" style="156" customWidth="1"/>
    <col min="13052" max="13052" width="2.88671875" style="156" customWidth="1"/>
    <col min="13053" max="13053" width="12.109375" style="156" customWidth="1"/>
    <col min="13054" max="13054" width="4.109375" style="156" customWidth="1"/>
    <col min="13055" max="13055" width="12.88671875" style="156" customWidth="1"/>
    <col min="13056" max="13056" width="4.109375" style="156" customWidth="1"/>
    <col min="13057" max="13057" width="11.109375" style="156" customWidth="1"/>
    <col min="13058" max="13058" width="4.109375" style="156" customWidth="1"/>
    <col min="13059" max="13059" width="11.109375" style="156" customWidth="1"/>
    <col min="13060" max="13060" width="2.88671875" style="156" customWidth="1"/>
    <col min="13061" max="13061" width="4.44140625" style="156" customWidth="1"/>
    <col min="13062" max="13062" width="2.88671875" style="156" customWidth="1"/>
    <col min="13063" max="13063" width="10" style="156" customWidth="1"/>
    <col min="13064" max="13064" width="11.5546875" style="156" customWidth="1"/>
    <col min="13065" max="13295" width="7" style="156"/>
    <col min="13296" max="13296" width="4.109375" style="156" customWidth="1"/>
    <col min="13297" max="13298" width="2.88671875" style="156" customWidth="1"/>
    <col min="13299" max="13299" width="4.44140625" style="156" customWidth="1"/>
    <col min="13300" max="13302" width="6.5546875" style="156" customWidth="1"/>
    <col min="13303" max="13303" width="9.44140625" style="156" customWidth="1"/>
    <col min="13304" max="13304" width="4.44140625" style="156" customWidth="1"/>
    <col min="13305" max="13305" width="12.88671875" style="156" customWidth="1"/>
    <col min="13306" max="13306" width="4.109375" style="156" customWidth="1"/>
    <col min="13307" max="13307" width="13.44140625" style="156" customWidth="1"/>
    <col min="13308" max="13308" width="2.88671875" style="156" customWidth="1"/>
    <col min="13309" max="13309" width="12.109375" style="156" customWidth="1"/>
    <col min="13310" max="13310" width="4.109375" style="156" customWidth="1"/>
    <col min="13311" max="13311" width="12.88671875" style="156" customWidth="1"/>
    <col min="13312" max="13312" width="4.109375" style="156" customWidth="1"/>
    <col min="13313" max="13313" width="11.109375" style="156" customWidth="1"/>
    <col min="13314" max="13314" width="4.109375" style="156" customWidth="1"/>
    <col min="13315" max="13315" width="11.109375" style="156" customWidth="1"/>
    <col min="13316" max="13316" width="2.88671875" style="156" customWidth="1"/>
    <col min="13317" max="13317" width="4.44140625" style="156" customWidth="1"/>
    <col min="13318" max="13318" width="2.88671875" style="156" customWidth="1"/>
    <col min="13319" max="13319" width="10" style="156" customWidth="1"/>
    <col min="13320" max="13320" width="11.5546875" style="156" customWidth="1"/>
    <col min="13321" max="13551" width="7" style="156"/>
    <col min="13552" max="13552" width="4.109375" style="156" customWidth="1"/>
    <col min="13553" max="13554" width="2.88671875" style="156" customWidth="1"/>
    <col min="13555" max="13555" width="4.44140625" style="156" customWidth="1"/>
    <col min="13556" max="13558" width="6.5546875" style="156" customWidth="1"/>
    <col min="13559" max="13559" width="9.44140625" style="156" customWidth="1"/>
    <col min="13560" max="13560" width="4.44140625" style="156" customWidth="1"/>
    <col min="13561" max="13561" width="12.88671875" style="156" customWidth="1"/>
    <col min="13562" max="13562" width="4.109375" style="156" customWidth="1"/>
    <col min="13563" max="13563" width="13.44140625" style="156" customWidth="1"/>
    <col min="13564" max="13564" width="2.88671875" style="156" customWidth="1"/>
    <col min="13565" max="13565" width="12.109375" style="156" customWidth="1"/>
    <col min="13566" max="13566" width="4.109375" style="156" customWidth="1"/>
    <col min="13567" max="13567" width="12.88671875" style="156" customWidth="1"/>
    <col min="13568" max="13568" width="4.109375" style="156" customWidth="1"/>
    <col min="13569" max="13569" width="11.109375" style="156" customWidth="1"/>
    <col min="13570" max="13570" width="4.109375" style="156" customWidth="1"/>
    <col min="13571" max="13571" width="11.109375" style="156" customWidth="1"/>
    <col min="13572" max="13572" width="2.88671875" style="156" customWidth="1"/>
    <col min="13573" max="13573" width="4.44140625" style="156" customWidth="1"/>
    <col min="13574" max="13574" width="2.88671875" style="156" customWidth="1"/>
    <col min="13575" max="13575" width="10" style="156" customWidth="1"/>
    <col min="13576" max="13576" width="11.5546875" style="156" customWidth="1"/>
    <col min="13577" max="13807" width="7" style="156"/>
    <col min="13808" max="13808" width="4.109375" style="156" customWidth="1"/>
    <col min="13809" max="13810" width="2.88671875" style="156" customWidth="1"/>
    <col min="13811" max="13811" width="4.44140625" style="156" customWidth="1"/>
    <col min="13812" max="13814" width="6.5546875" style="156" customWidth="1"/>
    <col min="13815" max="13815" width="9.44140625" style="156" customWidth="1"/>
    <col min="13816" max="13816" width="4.44140625" style="156" customWidth="1"/>
    <col min="13817" max="13817" width="12.88671875" style="156" customWidth="1"/>
    <col min="13818" max="13818" width="4.109375" style="156" customWidth="1"/>
    <col min="13819" max="13819" width="13.44140625" style="156" customWidth="1"/>
    <col min="13820" max="13820" width="2.88671875" style="156" customWidth="1"/>
    <col min="13821" max="13821" width="12.109375" style="156" customWidth="1"/>
    <col min="13822" max="13822" width="4.109375" style="156" customWidth="1"/>
    <col min="13823" max="13823" width="12.88671875" style="156" customWidth="1"/>
    <col min="13824" max="13824" width="4.109375" style="156" customWidth="1"/>
    <col min="13825" max="13825" width="11.109375" style="156" customWidth="1"/>
    <col min="13826" max="13826" width="4.109375" style="156" customWidth="1"/>
    <col min="13827" max="13827" width="11.109375" style="156" customWidth="1"/>
    <col min="13828" max="13828" width="2.88671875" style="156" customWidth="1"/>
    <col min="13829" max="13829" width="4.44140625" style="156" customWidth="1"/>
    <col min="13830" max="13830" width="2.88671875" style="156" customWidth="1"/>
    <col min="13831" max="13831" width="10" style="156" customWidth="1"/>
    <col min="13832" max="13832" width="11.5546875" style="156" customWidth="1"/>
    <col min="13833" max="14063" width="7" style="156"/>
    <col min="14064" max="14064" width="4.109375" style="156" customWidth="1"/>
    <col min="14065" max="14066" width="2.88671875" style="156" customWidth="1"/>
    <col min="14067" max="14067" width="4.44140625" style="156" customWidth="1"/>
    <col min="14068" max="14070" width="6.5546875" style="156" customWidth="1"/>
    <col min="14071" max="14071" width="9.44140625" style="156" customWidth="1"/>
    <col min="14072" max="14072" width="4.44140625" style="156" customWidth="1"/>
    <col min="14073" max="14073" width="12.88671875" style="156" customWidth="1"/>
    <col min="14074" max="14074" width="4.109375" style="156" customWidth="1"/>
    <col min="14075" max="14075" width="13.44140625" style="156" customWidth="1"/>
    <col min="14076" max="14076" width="2.88671875" style="156" customWidth="1"/>
    <col min="14077" max="14077" width="12.109375" style="156" customWidth="1"/>
    <col min="14078" max="14078" width="4.109375" style="156" customWidth="1"/>
    <col min="14079" max="14079" width="12.88671875" style="156" customWidth="1"/>
    <col min="14080" max="14080" width="4.109375" style="156" customWidth="1"/>
    <col min="14081" max="14081" width="11.109375" style="156" customWidth="1"/>
    <col min="14082" max="14082" width="4.109375" style="156" customWidth="1"/>
    <col min="14083" max="14083" width="11.109375" style="156" customWidth="1"/>
    <col min="14084" max="14084" width="2.88671875" style="156" customWidth="1"/>
    <col min="14085" max="14085" width="4.44140625" style="156" customWidth="1"/>
    <col min="14086" max="14086" width="2.88671875" style="156" customWidth="1"/>
    <col min="14087" max="14087" width="10" style="156" customWidth="1"/>
    <col min="14088" max="14088" width="11.5546875" style="156" customWidth="1"/>
    <col min="14089" max="14319" width="7" style="156"/>
    <col min="14320" max="14320" width="4.109375" style="156" customWidth="1"/>
    <col min="14321" max="14322" width="2.88671875" style="156" customWidth="1"/>
    <col min="14323" max="14323" width="4.44140625" style="156" customWidth="1"/>
    <col min="14324" max="14326" width="6.5546875" style="156" customWidth="1"/>
    <col min="14327" max="14327" width="9.44140625" style="156" customWidth="1"/>
    <col min="14328" max="14328" width="4.44140625" style="156" customWidth="1"/>
    <col min="14329" max="14329" width="12.88671875" style="156" customWidth="1"/>
    <col min="14330" max="14330" width="4.109375" style="156" customWidth="1"/>
    <col min="14331" max="14331" width="13.44140625" style="156" customWidth="1"/>
    <col min="14332" max="14332" width="2.88671875" style="156" customWidth="1"/>
    <col min="14333" max="14333" width="12.109375" style="156" customWidth="1"/>
    <col min="14334" max="14334" width="4.109375" style="156" customWidth="1"/>
    <col min="14335" max="14335" width="12.88671875" style="156" customWidth="1"/>
    <col min="14336" max="14336" width="4.109375" style="156" customWidth="1"/>
    <col min="14337" max="14337" width="11.109375" style="156" customWidth="1"/>
    <col min="14338" max="14338" width="4.109375" style="156" customWidth="1"/>
    <col min="14339" max="14339" width="11.109375" style="156" customWidth="1"/>
    <col min="14340" max="14340" width="2.88671875" style="156" customWidth="1"/>
    <col min="14341" max="14341" width="4.44140625" style="156" customWidth="1"/>
    <col min="14342" max="14342" width="2.88671875" style="156" customWidth="1"/>
    <col min="14343" max="14343" width="10" style="156" customWidth="1"/>
    <col min="14344" max="14344" width="11.5546875" style="156" customWidth="1"/>
    <col min="14345" max="14575" width="7" style="156"/>
    <col min="14576" max="14576" width="4.109375" style="156" customWidth="1"/>
    <col min="14577" max="14578" width="2.88671875" style="156" customWidth="1"/>
    <col min="14579" max="14579" width="4.44140625" style="156" customWidth="1"/>
    <col min="14580" max="14582" width="6.5546875" style="156" customWidth="1"/>
    <col min="14583" max="14583" width="9.44140625" style="156" customWidth="1"/>
    <col min="14584" max="14584" width="4.44140625" style="156" customWidth="1"/>
    <col min="14585" max="14585" width="12.88671875" style="156" customWidth="1"/>
    <col min="14586" max="14586" width="4.109375" style="156" customWidth="1"/>
    <col min="14587" max="14587" width="13.44140625" style="156" customWidth="1"/>
    <col min="14588" max="14588" width="2.88671875" style="156" customWidth="1"/>
    <col min="14589" max="14589" width="12.109375" style="156" customWidth="1"/>
    <col min="14590" max="14590" width="4.109375" style="156" customWidth="1"/>
    <col min="14591" max="14591" width="12.88671875" style="156" customWidth="1"/>
    <col min="14592" max="14592" width="4.109375" style="156" customWidth="1"/>
    <col min="14593" max="14593" width="11.109375" style="156" customWidth="1"/>
    <col min="14594" max="14594" width="4.109375" style="156" customWidth="1"/>
    <col min="14595" max="14595" width="11.109375" style="156" customWidth="1"/>
    <col min="14596" max="14596" width="2.88671875" style="156" customWidth="1"/>
    <col min="14597" max="14597" width="4.44140625" style="156" customWidth="1"/>
    <col min="14598" max="14598" width="2.88671875" style="156" customWidth="1"/>
    <col min="14599" max="14599" width="10" style="156" customWidth="1"/>
    <col min="14600" max="14600" width="11.5546875" style="156" customWidth="1"/>
    <col min="14601" max="14831" width="7" style="156"/>
    <col min="14832" max="14832" width="4.109375" style="156" customWidth="1"/>
    <col min="14833" max="14834" width="2.88671875" style="156" customWidth="1"/>
    <col min="14835" max="14835" width="4.44140625" style="156" customWidth="1"/>
    <col min="14836" max="14838" width="6.5546875" style="156" customWidth="1"/>
    <col min="14839" max="14839" width="9.44140625" style="156" customWidth="1"/>
    <col min="14840" max="14840" width="4.44140625" style="156" customWidth="1"/>
    <col min="14841" max="14841" width="12.88671875" style="156" customWidth="1"/>
    <col min="14842" max="14842" width="4.109375" style="156" customWidth="1"/>
    <col min="14843" max="14843" width="13.44140625" style="156" customWidth="1"/>
    <col min="14844" max="14844" width="2.88671875" style="156" customWidth="1"/>
    <col min="14845" max="14845" width="12.109375" style="156" customWidth="1"/>
    <col min="14846" max="14846" width="4.109375" style="156" customWidth="1"/>
    <col min="14847" max="14847" width="12.88671875" style="156" customWidth="1"/>
    <col min="14848" max="14848" width="4.109375" style="156" customWidth="1"/>
    <col min="14849" max="14849" width="11.109375" style="156" customWidth="1"/>
    <col min="14850" max="14850" width="4.109375" style="156" customWidth="1"/>
    <col min="14851" max="14851" width="11.109375" style="156" customWidth="1"/>
    <col min="14852" max="14852" width="2.88671875" style="156" customWidth="1"/>
    <col min="14853" max="14853" width="4.44140625" style="156" customWidth="1"/>
    <col min="14854" max="14854" width="2.88671875" style="156" customWidth="1"/>
    <col min="14855" max="14855" width="10" style="156" customWidth="1"/>
    <col min="14856" max="14856" width="11.5546875" style="156" customWidth="1"/>
    <col min="14857" max="15087" width="7" style="156"/>
    <col min="15088" max="15088" width="4.109375" style="156" customWidth="1"/>
    <col min="15089" max="15090" width="2.88671875" style="156" customWidth="1"/>
    <col min="15091" max="15091" width="4.44140625" style="156" customWidth="1"/>
    <col min="15092" max="15094" width="6.5546875" style="156" customWidth="1"/>
    <col min="15095" max="15095" width="9.44140625" style="156" customWidth="1"/>
    <col min="15096" max="15096" width="4.44140625" style="156" customWidth="1"/>
    <col min="15097" max="15097" width="12.88671875" style="156" customWidth="1"/>
    <col min="15098" max="15098" width="4.109375" style="156" customWidth="1"/>
    <col min="15099" max="15099" width="13.44140625" style="156" customWidth="1"/>
    <col min="15100" max="15100" width="2.88671875" style="156" customWidth="1"/>
    <col min="15101" max="15101" width="12.109375" style="156" customWidth="1"/>
    <col min="15102" max="15102" width="4.109375" style="156" customWidth="1"/>
    <col min="15103" max="15103" width="12.88671875" style="156" customWidth="1"/>
    <col min="15104" max="15104" width="4.109375" style="156" customWidth="1"/>
    <col min="15105" max="15105" width="11.109375" style="156" customWidth="1"/>
    <col min="15106" max="15106" width="4.109375" style="156" customWidth="1"/>
    <col min="15107" max="15107" width="11.109375" style="156" customWidth="1"/>
    <col min="15108" max="15108" width="2.88671875" style="156" customWidth="1"/>
    <col min="15109" max="15109" width="4.44140625" style="156" customWidth="1"/>
    <col min="15110" max="15110" width="2.88671875" style="156" customWidth="1"/>
    <col min="15111" max="15111" width="10" style="156" customWidth="1"/>
    <col min="15112" max="15112" width="11.5546875" style="156" customWidth="1"/>
    <col min="15113" max="15343" width="7" style="156"/>
    <col min="15344" max="15344" width="4.109375" style="156" customWidth="1"/>
    <col min="15345" max="15346" width="2.88671875" style="156" customWidth="1"/>
    <col min="15347" max="15347" width="4.44140625" style="156" customWidth="1"/>
    <col min="15348" max="15350" width="6.5546875" style="156" customWidth="1"/>
    <col min="15351" max="15351" width="9.44140625" style="156" customWidth="1"/>
    <col min="15352" max="15352" width="4.44140625" style="156" customWidth="1"/>
    <col min="15353" max="15353" width="12.88671875" style="156" customWidth="1"/>
    <col min="15354" max="15354" width="4.109375" style="156" customWidth="1"/>
    <col min="15355" max="15355" width="13.44140625" style="156" customWidth="1"/>
    <col min="15356" max="15356" width="2.88671875" style="156" customWidth="1"/>
    <col min="15357" max="15357" width="12.109375" style="156" customWidth="1"/>
    <col min="15358" max="15358" width="4.109375" style="156" customWidth="1"/>
    <col min="15359" max="15359" width="12.88671875" style="156" customWidth="1"/>
    <col min="15360" max="15360" width="4.109375" style="156" customWidth="1"/>
    <col min="15361" max="15361" width="11.109375" style="156" customWidth="1"/>
    <col min="15362" max="15362" width="4.109375" style="156" customWidth="1"/>
    <col min="15363" max="15363" width="11.109375" style="156" customWidth="1"/>
    <col min="15364" max="15364" width="2.88671875" style="156" customWidth="1"/>
    <col min="15365" max="15365" width="4.44140625" style="156" customWidth="1"/>
    <col min="15366" max="15366" width="2.88671875" style="156" customWidth="1"/>
    <col min="15367" max="15367" width="10" style="156" customWidth="1"/>
    <col min="15368" max="15368" width="11.5546875" style="156" customWidth="1"/>
    <col min="15369" max="15599" width="7" style="156"/>
    <col min="15600" max="15600" width="4.109375" style="156" customWidth="1"/>
    <col min="15601" max="15602" width="2.88671875" style="156" customWidth="1"/>
    <col min="15603" max="15603" width="4.44140625" style="156" customWidth="1"/>
    <col min="15604" max="15606" width="6.5546875" style="156" customWidth="1"/>
    <col min="15607" max="15607" width="9.44140625" style="156" customWidth="1"/>
    <col min="15608" max="15608" width="4.44140625" style="156" customWidth="1"/>
    <col min="15609" max="15609" width="12.88671875" style="156" customWidth="1"/>
    <col min="15610" max="15610" width="4.109375" style="156" customWidth="1"/>
    <col min="15611" max="15611" width="13.44140625" style="156" customWidth="1"/>
    <col min="15612" max="15612" width="2.88671875" style="156" customWidth="1"/>
    <col min="15613" max="15613" width="12.109375" style="156" customWidth="1"/>
    <col min="15614" max="15614" width="4.109375" style="156" customWidth="1"/>
    <col min="15615" max="15615" width="12.88671875" style="156" customWidth="1"/>
    <col min="15616" max="15616" width="4.109375" style="156" customWidth="1"/>
    <col min="15617" max="15617" width="11.109375" style="156" customWidth="1"/>
    <col min="15618" max="15618" width="4.109375" style="156" customWidth="1"/>
    <col min="15619" max="15619" width="11.109375" style="156" customWidth="1"/>
    <col min="15620" max="15620" width="2.88671875" style="156" customWidth="1"/>
    <col min="15621" max="15621" width="4.44140625" style="156" customWidth="1"/>
    <col min="15622" max="15622" width="2.88671875" style="156" customWidth="1"/>
    <col min="15623" max="15623" width="10" style="156" customWidth="1"/>
    <col min="15624" max="15624" width="11.5546875" style="156" customWidth="1"/>
    <col min="15625" max="15855" width="7" style="156"/>
    <col min="15856" max="15856" width="4.109375" style="156" customWidth="1"/>
    <col min="15857" max="15858" width="2.88671875" style="156" customWidth="1"/>
    <col min="15859" max="15859" width="4.44140625" style="156" customWidth="1"/>
    <col min="15860" max="15862" width="6.5546875" style="156" customWidth="1"/>
    <col min="15863" max="15863" width="9.44140625" style="156" customWidth="1"/>
    <col min="15864" max="15864" width="4.44140625" style="156" customWidth="1"/>
    <col min="15865" max="15865" width="12.88671875" style="156" customWidth="1"/>
    <col min="15866" max="15866" width="4.109375" style="156" customWidth="1"/>
    <col min="15867" max="15867" width="13.44140625" style="156" customWidth="1"/>
    <col min="15868" max="15868" width="2.88671875" style="156" customWidth="1"/>
    <col min="15869" max="15869" width="12.109375" style="156" customWidth="1"/>
    <col min="15870" max="15870" width="4.109375" style="156" customWidth="1"/>
    <col min="15871" max="15871" width="12.88671875" style="156" customWidth="1"/>
    <col min="15872" max="15872" width="4.109375" style="156" customWidth="1"/>
    <col min="15873" max="15873" width="11.109375" style="156" customWidth="1"/>
    <col min="15874" max="15874" width="4.109375" style="156" customWidth="1"/>
    <col min="15875" max="15875" width="11.109375" style="156" customWidth="1"/>
    <col min="15876" max="15876" width="2.88671875" style="156" customWidth="1"/>
    <col min="15877" max="15877" width="4.44140625" style="156" customWidth="1"/>
    <col min="15878" max="15878" width="2.88671875" style="156" customWidth="1"/>
    <col min="15879" max="15879" width="10" style="156" customWidth="1"/>
    <col min="15880" max="15880" width="11.5546875" style="156" customWidth="1"/>
    <col min="15881" max="16111" width="7" style="156"/>
    <col min="16112" max="16112" width="4.109375" style="156" customWidth="1"/>
    <col min="16113" max="16114" width="2.88671875" style="156" customWidth="1"/>
    <col min="16115" max="16115" width="4.44140625" style="156" customWidth="1"/>
    <col min="16116" max="16118" width="6.5546875" style="156" customWidth="1"/>
    <col min="16119" max="16119" width="9.44140625" style="156" customWidth="1"/>
    <col min="16120" max="16120" width="4.44140625" style="156" customWidth="1"/>
    <col min="16121" max="16121" width="12.88671875" style="156" customWidth="1"/>
    <col min="16122" max="16122" width="4.109375" style="156" customWidth="1"/>
    <col min="16123" max="16123" width="13.44140625" style="156" customWidth="1"/>
    <col min="16124" max="16124" width="2.88671875" style="156" customWidth="1"/>
    <col min="16125" max="16125" width="12.109375" style="156" customWidth="1"/>
    <col min="16126" max="16126" width="4.109375" style="156" customWidth="1"/>
    <col min="16127" max="16127" width="12.88671875" style="156" customWidth="1"/>
    <col min="16128" max="16128" width="4.109375" style="156" customWidth="1"/>
    <col min="16129" max="16129" width="11.109375" style="156" customWidth="1"/>
    <col min="16130" max="16130" width="4.109375" style="156" customWidth="1"/>
    <col min="16131" max="16131" width="11.109375" style="156" customWidth="1"/>
    <col min="16132" max="16132" width="2.88671875" style="156" customWidth="1"/>
    <col min="16133" max="16133" width="4.44140625" style="156" customWidth="1"/>
    <col min="16134" max="16134" width="2.88671875" style="156" customWidth="1"/>
    <col min="16135" max="16135" width="10" style="156" customWidth="1"/>
    <col min="16136" max="16136" width="11.5546875" style="156" customWidth="1"/>
    <col min="16137" max="16384" width="7" style="156"/>
  </cols>
  <sheetData>
    <row r="1" spans="1:16">
      <c r="A1" s="160"/>
      <c r="E1" s="487"/>
      <c r="J1" s="162"/>
      <c r="L1" s="162"/>
      <c r="N1" s="162"/>
      <c r="P1" s="485" t="s">
        <v>1136</v>
      </c>
    </row>
    <row r="2" spans="1:16">
      <c r="B2" s="486"/>
      <c r="C2" s="486"/>
      <c r="D2" s="486"/>
      <c r="E2" s="486"/>
      <c r="F2" s="486"/>
      <c r="G2" s="486"/>
      <c r="H2" s="486"/>
      <c r="I2" s="486"/>
      <c r="J2" s="646"/>
      <c r="K2" s="486"/>
      <c r="L2" s="646"/>
      <c r="M2" s="486"/>
      <c r="N2" s="646"/>
      <c r="O2" s="486"/>
      <c r="P2" s="485" t="s">
        <v>797</v>
      </c>
    </row>
    <row r="3" spans="1:16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  <c r="L3" s="1166"/>
      <c r="M3" s="1166"/>
      <c r="N3" s="1166"/>
      <c r="O3" s="1166"/>
      <c r="P3" s="1166"/>
    </row>
    <row r="4" spans="1:16">
      <c r="A4" s="1166" t="s">
        <v>330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  <c r="L4" s="1166"/>
      <c r="M4" s="1166"/>
      <c r="N4" s="1166"/>
      <c r="O4" s="1166"/>
      <c r="P4" s="1166"/>
    </row>
    <row r="5" spans="1:16">
      <c r="A5" s="1166" t="str">
        <f>'A1'!A5:J5</f>
        <v>Test Year Ended June 30, 2024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  <c r="N5" s="1166"/>
      <c r="O5" s="1166"/>
      <c r="P5" s="1166"/>
    </row>
    <row r="6" spans="1:16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  <c r="L6" s="1166"/>
      <c r="M6" s="1166"/>
      <c r="N6" s="1166"/>
      <c r="O6" s="1166"/>
      <c r="P6" s="1166"/>
    </row>
    <row r="7" spans="1:16">
      <c r="A7" s="696"/>
      <c r="B7" s="486"/>
      <c r="C7" s="486"/>
      <c r="D7" s="486"/>
      <c r="E7" s="486"/>
      <c r="F7" s="486"/>
      <c r="G7" s="486"/>
      <c r="H7" s="486"/>
      <c r="I7" s="486"/>
      <c r="J7" s="646"/>
      <c r="K7" s="486"/>
      <c r="L7" s="731"/>
      <c r="M7" s="486"/>
      <c r="N7" s="646"/>
    </row>
    <row r="8" spans="1:16">
      <c r="A8" s="160"/>
      <c r="J8" s="1190" t="s">
        <v>970</v>
      </c>
      <c r="K8" s="1190"/>
      <c r="L8" s="1190"/>
      <c r="M8" s="1190"/>
      <c r="N8" s="1190"/>
    </row>
    <row r="9" spans="1:16">
      <c r="A9" s="160" t="s">
        <v>331</v>
      </c>
      <c r="J9" s="1192" t="s">
        <v>332</v>
      </c>
      <c r="K9" s="1192"/>
      <c r="L9" s="1192"/>
      <c r="M9" s="1192"/>
      <c r="N9" s="1192"/>
      <c r="P9" s="160" t="s">
        <v>331</v>
      </c>
    </row>
    <row r="10" spans="1:16">
      <c r="A10" s="616" t="s">
        <v>333</v>
      </c>
      <c r="C10" s="1191" t="s">
        <v>0</v>
      </c>
      <c r="D10" s="1191"/>
      <c r="E10" s="1191"/>
      <c r="F10" s="1191"/>
      <c r="G10" s="1191"/>
      <c r="H10" s="1191"/>
      <c r="I10" s="486"/>
      <c r="J10" s="732" t="s">
        <v>334</v>
      </c>
      <c r="L10" s="158" t="s">
        <v>335</v>
      </c>
      <c r="M10" s="159"/>
      <c r="N10" s="158" t="s">
        <v>152</v>
      </c>
      <c r="P10" s="616" t="s">
        <v>333</v>
      </c>
    </row>
    <row r="11" spans="1:16">
      <c r="A11" s="160"/>
      <c r="J11" s="622"/>
      <c r="L11" s="622"/>
      <c r="N11" s="622"/>
    </row>
    <row r="12" spans="1:16">
      <c r="A12" s="160"/>
      <c r="C12" s="156" t="s">
        <v>44</v>
      </c>
      <c r="J12" s="733"/>
      <c r="K12" s="501"/>
      <c r="L12" s="733"/>
      <c r="M12" s="501"/>
      <c r="N12" s="733"/>
    </row>
    <row r="13" spans="1:16">
      <c r="A13" s="160">
        <v>1</v>
      </c>
      <c r="D13" s="162" t="s">
        <v>1436</v>
      </c>
      <c r="J13" s="501">
        <f>'E2'!B12</f>
        <v>117648</v>
      </c>
      <c r="K13" s="734"/>
      <c r="L13" s="501">
        <f>'C2 P1-P3'!AM11</f>
        <v>-55728.908499999961</v>
      </c>
      <c r="M13" s="734"/>
      <c r="N13" s="501">
        <f>J13+L13</f>
        <v>61919.091500000039</v>
      </c>
      <c r="P13" s="160">
        <f>+A13</f>
        <v>1</v>
      </c>
    </row>
    <row r="14" spans="1:16">
      <c r="A14" s="160">
        <f>+A13+1</f>
        <v>2</v>
      </c>
      <c r="D14" s="162" t="s">
        <v>322</v>
      </c>
      <c r="J14" s="162">
        <f>'E2'!B13</f>
        <v>371</v>
      </c>
      <c r="K14" s="162"/>
      <c r="L14" s="162">
        <f>'C2 P1-P3'!AM12</f>
        <v>-371.07299999999998</v>
      </c>
      <c r="M14" s="162"/>
      <c r="N14" s="162">
        <f>J14+L14</f>
        <v>-7.2999999999979082E-2</v>
      </c>
      <c r="P14" s="160">
        <f>+A14</f>
        <v>2</v>
      </c>
    </row>
    <row r="15" spans="1:16">
      <c r="A15" s="160">
        <f>+A14+1</f>
        <v>3</v>
      </c>
      <c r="D15" s="162" t="s">
        <v>59</v>
      </c>
      <c r="J15" s="162">
        <f>'E2'!B14</f>
        <v>8142</v>
      </c>
      <c r="K15" s="162"/>
      <c r="L15" s="162">
        <f>'C2 P1-P3'!AM13</f>
        <v>-1075.35286</v>
      </c>
      <c r="M15" s="162"/>
      <c r="N15" s="162">
        <f>J15+L15</f>
        <v>7066.64714</v>
      </c>
      <c r="P15" s="160">
        <f>+A15</f>
        <v>3</v>
      </c>
    </row>
    <row r="16" spans="1:16">
      <c r="A16" s="160">
        <f>+A15+1</f>
        <v>4</v>
      </c>
      <c r="E16" s="162" t="s">
        <v>153</v>
      </c>
      <c r="J16" s="163">
        <f>SUM(J13:J15)</f>
        <v>126161</v>
      </c>
      <c r="K16" s="162"/>
      <c r="L16" s="163">
        <f>'C2 P1-P3'!AM14</f>
        <v>-57175.334359999957</v>
      </c>
      <c r="M16" s="162"/>
      <c r="N16" s="163">
        <f>SUM(N13:N15)</f>
        <v>68985.665640000036</v>
      </c>
      <c r="P16" s="160">
        <f>+A16</f>
        <v>4</v>
      </c>
    </row>
    <row r="17" spans="1:16">
      <c r="A17" s="160"/>
      <c r="E17" s="162"/>
      <c r="J17" s="735"/>
      <c r="K17" s="162"/>
      <c r="L17" s="735"/>
      <c r="M17" s="162"/>
      <c r="N17" s="735"/>
      <c r="P17" s="160"/>
    </row>
    <row r="18" spans="1:16">
      <c r="A18" s="160"/>
      <c r="C18" s="156" t="s">
        <v>336</v>
      </c>
      <c r="J18" s="735"/>
      <c r="K18" s="162"/>
      <c r="L18" s="735"/>
      <c r="M18" s="162"/>
      <c r="N18" s="735"/>
      <c r="P18" s="160"/>
    </row>
    <row r="19" spans="1:16">
      <c r="A19" s="160">
        <f>+A16+1</f>
        <v>5</v>
      </c>
      <c r="D19" s="516" t="s">
        <v>337</v>
      </c>
      <c r="J19" s="162">
        <f>ROUND('E2'!B19,0)+ROUND('Customer Deposits'!H23/1000,0)+ROUND('E2'!B18,0)</f>
        <v>89013</v>
      </c>
      <c r="K19" s="731" t="s">
        <v>825</v>
      </c>
      <c r="L19" s="162">
        <f>'C2 P1-P3'!AM17</f>
        <v>-59996.771659924867</v>
      </c>
      <c r="M19" s="162"/>
      <c r="N19" s="162">
        <f>+J19+L19</f>
        <v>29016.228340075133</v>
      </c>
      <c r="P19" s="160">
        <f t="shared" ref="P19:P25" si="0">+A19</f>
        <v>5</v>
      </c>
    </row>
    <row r="20" spans="1:16">
      <c r="A20" s="160">
        <f t="shared" ref="A20:A23" si="1">+A19+1</f>
        <v>6</v>
      </c>
      <c r="D20" s="156" t="s">
        <v>50</v>
      </c>
      <c r="J20" s="162">
        <f>'E2'!B20</f>
        <v>16665</v>
      </c>
      <c r="K20" s="162"/>
      <c r="L20" s="162">
        <f>'C2 P1-P3'!AM18</f>
        <v>780.52526236899996</v>
      </c>
      <c r="M20" s="162"/>
      <c r="N20" s="162">
        <f>+J20+L20</f>
        <v>17445.525262368999</v>
      </c>
      <c r="P20" s="160">
        <f t="shared" si="0"/>
        <v>6</v>
      </c>
    </row>
    <row r="21" spans="1:16">
      <c r="A21" s="160">
        <f t="shared" si="1"/>
        <v>7</v>
      </c>
      <c r="D21" s="156" t="s">
        <v>338</v>
      </c>
      <c r="J21" s="162">
        <f>'E2'!B21</f>
        <v>5159</v>
      </c>
      <c r="K21" s="162"/>
      <c r="L21" s="162">
        <f>'C2 P1-P3'!AM19</f>
        <v>693.46537567700454</v>
      </c>
      <c r="M21" s="162"/>
      <c r="N21" s="162">
        <f>+J21+L21</f>
        <v>5852.4653756770049</v>
      </c>
      <c r="P21" s="160">
        <f t="shared" si="0"/>
        <v>7</v>
      </c>
    </row>
    <row r="22" spans="1:16">
      <c r="A22" s="160">
        <f t="shared" si="1"/>
        <v>8</v>
      </c>
      <c r="D22" s="156" t="s">
        <v>8</v>
      </c>
      <c r="J22" s="162">
        <f>'E2'!B22</f>
        <v>2063</v>
      </c>
      <c r="K22" s="162"/>
      <c r="L22" s="162">
        <f>'C2 P1-P3'!AM20</f>
        <v>-309.74480164418111</v>
      </c>
      <c r="M22" s="162"/>
      <c r="N22" s="736">
        <f>J22+L22</f>
        <v>1753.2551983558189</v>
      </c>
      <c r="P22" s="160">
        <f t="shared" si="0"/>
        <v>8</v>
      </c>
    </row>
    <row r="23" spans="1:16">
      <c r="A23" s="160">
        <f t="shared" si="1"/>
        <v>9</v>
      </c>
      <c r="E23" s="156" t="s">
        <v>154</v>
      </c>
      <c r="J23" s="163">
        <f>SUM(J19:J22)</f>
        <v>112900</v>
      </c>
      <c r="K23" s="162"/>
      <c r="L23" s="163">
        <f>'C2 P1-P3'!AM21</f>
        <v>-58832.525823523036</v>
      </c>
      <c r="M23" s="162"/>
      <c r="N23" s="163">
        <f>SUM(N19:N22)</f>
        <v>54067.474176476964</v>
      </c>
      <c r="P23" s="160">
        <f t="shared" si="0"/>
        <v>9</v>
      </c>
    </row>
    <row r="24" spans="1:16">
      <c r="A24" s="160"/>
      <c r="J24" s="734"/>
      <c r="K24" s="734"/>
      <c r="L24" s="501"/>
      <c r="M24" s="734"/>
      <c r="N24" s="734"/>
      <c r="P24" s="160"/>
    </row>
    <row r="25" spans="1:16" ht="10.8" thickBot="1">
      <c r="A25" s="160">
        <f>+A23+1</f>
        <v>10</v>
      </c>
      <c r="C25" s="156" t="s">
        <v>329</v>
      </c>
      <c r="J25" s="738">
        <f>+J16-J23</f>
        <v>13261</v>
      </c>
      <c r="K25" s="734"/>
      <c r="L25" s="693">
        <f>'C2 P1-P3'!AM23</f>
        <v>1657.1914635230787</v>
      </c>
      <c r="M25" s="734"/>
      <c r="N25" s="693">
        <f>+N16-N23</f>
        <v>14918.191463523071</v>
      </c>
      <c r="P25" s="160">
        <f t="shared" si="0"/>
        <v>10</v>
      </c>
    </row>
    <row r="26" spans="1:16" ht="13.8" thickTop="1">
      <c r="A26" s="160"/>
      <c r="I26"/>
      <c r="J26" s="739"/>
      <c r="K26" s="740"/>
      <c r="L26" s="740"/>
      <c r="M26" s="740"/>
      <c r="N26" s="739"/>
      <c r="O26"/>
      <c r="P26"/>
    </row>
    <row r="27" spans="1:16" ht="13.2">
      <c r="C27" s="157" t="s">
        <v>857</v>
      </c>
      <c r="I27"/>
      <c r="J27" s="742"/>
      <c r="K27" s="741"/>
      <c r="L27" s="742"/>
      <c r="M27" s="742"/>
      <c r="N27" s="742"/>
    </row>
    <row r="28" spans="1:16">
      <c r="A28" s="160">
        <f>+A25+1</f>
        <v>11</v>
      </c>
      <c r="D28" s="156" t="s">
        <v>1137</v>
      </c>
      <c r="J28" s="501">
        <f>'E2'!B28</f>
        <v>-2</v>
      </c>
      <c r="K28" s="734"/>
      <c r="L28" s="743"/>
      <c r="M28" s="743"/>
      <c r="N28" s="743"/>
      <c r="P28" s="160"/>
    </row>
    <row r="29" spans="1:16">
      <c r="A29" s="160">
        <f>+A28+1</f>
        <v>12</v>
      </c>
      <c r="D29" s="156" t="s">
        <v>1138</v>
      </c>
      <c r="J29" s="162">
        <f>'E2'!B29</f>
        <v>-222</v>
      </c>
      <c r="K29" s="734"/>
      <c r="L29" s="744"/>
      <c r="M29" s="734"/>
      <c r="N29" s="734"/>
      <c r="P29" s="160"/>
    </row>
    <row r="30" spans="1:16">
      <c r="A30" s="160">
        <f>+A29+1</f>
        <v>13</v>
      </c>
      <c r="E30" s="157" t="s">
        <v>1139</v>
      </c>
      <c r="J30" s="163">
        <f>SUM(J28:J29)</f>
        <v>-224</v>
      </c>
      <c r="K30" s="734"/>
      <c r="L30" s="734"/>
      <c r="M30" s="734"/>
      <c r="N30" s="734"/>
      <c r="P30" s="160"/>
    </row>
    <row r="31" spans="1:16">
      <c r="A31" s="160"/>
      <c r="J31" s="162"/>
      <c r="K31" s="734"/>
      <c r="L31" s="734"/>
      <c r="M31" s="734"/>
      <c r="N31" s="734"/>
      <c r="P31" s="160"/>
    </row>
    <row r="32" spans="1:16">
      <c r="A32" s="160">
        <f>+A30+1</f>
        <v>14</v>
      </c>
      <c r="C32" s="156" t="s">
        <v>858</v>
      </c>
      <c r="J32" s="736">
        <f>J25+J30</f>
        <v>13037</v>
      </c>
      <c r="K32" s="734"/>
      <c r="L32" s="734"/>
      <c r="M32" s="734"/>
      <c r="N32" s="734"/>
      <c r="O32" s="162"/>
      <c r="P32" s="160"/>
    </row>
    <row r="33" spans="1:16">
      <c r="A33" s="160"/>
      <c r="J33" s="162"/>
      <c r="K33" s="734"/>
      <c r="L33" s="734"/>
      <c r="M33" s="734"/>
      <c r="N33" s="734"/>
      <c r="P33" s="160"/>
    </row>
    <row r="34" spans="1:16">
      <c r="C34" s="156" t="s">
        <v>859</v>
      </c>
      <c r="J34" s="162"/>
      <c r="K34" s="734"/>
      <c r="L34" s="734"/>
      <c r="M34" s="734"/>
      <c r="N34" s="734"/>
    </row>
    <row r="35" spans="1:16">
      <c r="A35" s="160">
        <f>+A32+1</f>
        <v>15</v>
      </c>
      <c r="D35" s="156" t="s">
        <v>1140</v>
      </c>
      <c r="J35" s="162">
        <f>'E2'!B35</f>
        <v>4556</v>
      </c>
      <c r="K35" s="734"/>
      <c r="L35" s="734"/>
      <c r="M35" s="734"/>
      <c r="N35" s="734"/>
      <c r="P35" s="160"/>
    </row>
    <row r="36" spans="1:16">
      <c r="A36" s="160"/>
      <c r="D36" s="156" t="s">
        <v>1141</v>
      </c>
      <c r="J36" s="162">
        <f>'E2'!B36</f>
        <v>1462</v>
      </c>
      <c r="K36" s="734"/>
      <c r="L36" s="734"/>
      <c r="M36" s="734"/>
      <c r="N36" s="734"/>
      <c r="P36" s="160"/>
    </row>
    <row r="37" spans="1:16">
      <c r="A37" s="160">
        <f>+A35+1</f>
        <v>16</v>
      </c>
      <c r="D37" s="156" t="s">
        <v>1142</v>
      </c>
      <c r="J37" s="162">
        <f>'E2'!B37-'Customer Deposits'!H23/1000</f>
        <v>264.02316000000002</v>
      </c>
      <c r="K37" s="745" t="s">
        <v>825</v>
      </c>
      <c r="L37" s="734"/>
      <c r="M37" s="734"/>
      <c r="N37" s="734"/>
      <c r="P37" s="160"/>
    </row>
    <row r="38" spans="1:16">
      <c r="A38" s="160">
        <f>+A37+1</f>
        <v>17</v>
      </c>
      <c r="D38" s="156" t="s">
        <v>1143</v>
      </c>
      <c r="J38" s="162">
        <f>'E2'!B38</f>
        <v>-188</v>
      </c>
      <c r="K38" s="734"/>
      <c r="L38" s="734"/>
      <c r="M38" s="734"/>
      <c r="N38" s="734"/>
      <c r="P38" s="160"/>
    </row>
    <row r="39" spans="1:16">
      <c r="A39" s="160">
        <f>+A38+1</f>
        <v>18</v>
      </c>
      <c r="E39" s="156" t="s">
        <v>1144</v>
      </c>
      <c r="J39" s="163">
        <f>SUM(J35:J38)</f>
        <v>6094.0231599999997</v>
      </c>
      <c r="K39" s="734"/>
      <c r="L39" s="734"/>
      <c r="M39" s="734"/>
      <c r="N39" s="734"/>
      <c r="P39" s="160"/>
    </row>
    <row r="40" spans="1:16">
      <c r="A40" s="160"/>
      <c r="J40" s="162"/>
      <c r="K40" s="734"/>
      <c r="L40" s="734"/>
      <c r="M40" s="734"/>
      <c r="N40" s="734"/>
      <c r="P40" s="160"/>
    </row>
    <row r="41" spans="1:16">
      <c r="A41" s="160">
        <f>+A39+1</f>
        <v>19</v>
      </c>
      <c r="C41" s="746" t="s">
        <v>1145</v>
      </c>
      <c r="D41" s="747"/>
      <c r="E41" s="747"/>
      <c r="F41" s="747"/>
      <c r="G41" s="747"/>
      <c r="H41" s="747"/>
      <c r="I41" s="747"/>
      <c r="J41" s="748">
        <f>J32-J39</f>
        <v>6942.9768400000003</v>
      </c>
      <c r="K41" s="734"/>
      <c r="L41" s="734"/>
      <c r="M41" s="734"/>
      <c r="N41" s="734"/>
      <c r="P41" s="160"/>
    </row>
    <row r="42" spans="1:16">
      <c r="A42" s="160">
        <f>+A41+1</f>
        <v>20</v>
      </c>
      <c r="C42" s="746" t="s">
        <v>1146</v>
      </c>
      <c r="D42" s="747"/>
      <c r="E42" s="747"/>
      <c r="F42" s="747"/>
      <c r="G42" s="747"/>
      <c r="H42" s="747"/>
      <c r="I42" s="747"/>
      <c r="J42" s="1047">
        <v>0</v>
      </c>
      <c r="K42" s="734"/>
      <c r="L42" s="734"/>
      <c r="M42" s="734"/>
      <c r="N42" s="734"/>
      <c r="P42" s="160"/>
    </row>
    <row r="43" spans="1:16" ht="10.8" thickBot="1">
      <c r="A43" s="160">
        <f>+A42+1</f>
        <v>21</v>
      </c>
      <c r="C43" s="687" t="s">
        <v>1147</v>
      </c>
      <c r="J43" s="749">
        <f>+J41+J42</f>
        <v>6942.9768400000003</v>
      </c>
      <c r="K43" s="734"/>
      <c r="L43" s="734"/>
      <c r="M43" s="734"/>
      <c r="N43" s="734"/>
      <c r="P43" s="160"/>
    </row>
    <row r="44" spans="1:16" ht="10.8" thickTop="1">
      <c r="A44" s="160"/>
      <c r="C44" s="687"/>
      <c r="J44" s="501"/>
      <c r="K44" s="734"/>
      <c r="L44" s="734"/>
      <c r="M44" s="734"/>
      <c r="N44" s="734"/>
      <c r="P44" s="160"/>
    </row>
    <row r="45" spans="1:16">
      <c r="A45" s="1189" t="s">
        <v>1896</v>
      </c>
      <c r="B45" s="1189"/>
      <c r="C45" s="1189"/>
      <c r="D45" s="1189"/>
      <c r="E45" s="1189"/>
      <c r="F45" s="1189"/>
      <c r="G45" s="1189"/>
      <c r="H45" s="1189"/>
      <c r="I45" s="1189"/>
      <c r="J45" s="1189"/>
      <c r="K45" s="1189"/>
      <c r="L45" s="1189"/>
      <c r="M45" s="1189"/>
      <c r="N45" s="1189"/>
      <c r="O45" s="1189"/>
      <c r="P45" s="1189"/>
    </row>
    <row r="46" spans="1:16" ht="13.2">
      <c r="A46" s="160"/>
      <c r="C46"/>
      <c r="D46"/>
      <c r="E46"/>
      <c r="F46"/>
      <c r="G46"/>
      <c r="H46"/>
      <c r="I46"/>
      <c r="J46"/>
      <c r="K46"/>
      <c r="L46"/>
      <c r="M46"/>
      <c r="N46"/>
    </row>
    <row r="47" spans="1:16">
      <c r="A47" s="160" t="s">
        <v>181</v>
      </c>
      <c r="C47" s="694" t="s">
        <v>826</v>
      </c>
      <c r="D47" s="486"/>
      <c r="E47" s="486"/>
      <c r="G47" s="694" t="s">
        <v>990</v>
      </c>
      <c r="H47" s="486"/>
      <c r="J47" s="162"/>
      <c r="L47" s="162"/>
      <c r="N47" s="162"/>
    </row>
    <row r="48" spans="1:16">
      <c r="A48" s="160" t="s">
        <v>181</v>
      </c>
      <c r="C48" s="486" t="s">
        <v>870</v>
      </c>
      <c r="D48" s="486"/>
      <c r="E48" s="486"/>
      <c r="G48" s="696" t="s">
        <v>991</v>
      </c>
      <c r="H48" s="486"/>
      <c r="J48" s="162"/>
      <c r="L48" s="162"/>
      <c r="N48" s="162"/>
    </row>
    <row r="49" spans="1:14">
      <c r="A49" s="160"/>
      <c r="C49" s="486" t="s">
        <v>1148</v>
      </c>
      <c r="D49" s="486"/>
      <c r="E49" s="486"/>
      <c r="G49" s="696" t="s">
        <v>1149</v>
      </c>
      <c r="H49" s="486"/>
    </row>
    <row r="50" spans="1:14">
      <c r="L50" s="162"/>
      <c r="N50" s="162"/>
    </row>
    <row r="51" spans="1:14">
      <c r="L51" s="162"/>
      <c r="N51" s="162"/>
    </row>
    <row r="52" spans="1:14">
      <c r="A52" s="513" t="s">
        <v>1150</v>
      </c>
      <c r="I52" s="750" t="s">
        <v>1151</v>
      </c>
      <c r="J52" s="486"/>
      <c r="K52" s="486"/>
      <c r="L52" s="646"/>
      <c r="N52" s="162"/>
    </row>
    <row r="53" spans="1:14">
      <c r="I53" s="750" t="s">
        <v>998</v>
      </c>
      <c r="J53" s="486"/>
      <c r="K53" s="486"/>
      <c r="L53" s="486"/>
    </row>
    <row r="54" spans="1:14">
      <c r="A54" s="513" t="s">
        <v>835</v>
      </c>
      <c r="I54" s="156" t="s">
        <v>44</v>
      </c>
      <c r="L54" s="501">
        <f>'E2'!B15-J16</f>
        <v>0</v>
      </c>
    </row>
    <row r="55" spans="1:14">
      <c r="A55" s="487" t="s">
        <v>1152</v>
      </c>
      <c r="I55" s="156" t="s">
        <v>336</v>
      </c>
      <c r="L55" s="501">
        <f>-'E2'!B23+J23</f>
        <v>54</v>
      </c>
      <c r="N55" s="156" t="s">
        <v>1153</v>
      </c>
    </row>
    <row r="56" spans="1:14">
      <c r="A56" s="487" t="s">
        <v>1154</v>
      </c>
      <c r="I56" s="156" t="s">
        <v>329</v>
      </c>
      <c r="L56" s="501">
        <f>'E2'!B25-J25</f>
        <v>54</v>
      </c>
      <c r="N56" s="156" t="s">
        <v>1153</v>
      </c>
    </row>
    <row r="57" spans="1:14">
      <c r="A57" s="487" t="s">
        <v>1155</v>
      </c>
      <c r="I57" s="156" t="s">
        <v>1156</v>
      </c>
      <c r="L57" s="501">
        <f>'E2'!B30-J30</f>
        <v>0</v>
      </c>
    </row>
    <row r="58" spans="1:14">
      <c r="I58" s="156" t="s">
        <v>859</v>
      </c>
      <c r="L58" s="501">
        <f>-'E2'!B39+J39</f>
        <v>-53.976840000000266</v>
      </c>
      <c r="N58" s="156" t="s">
        <v>1153</v>
      </c>
    </row>
    <row r="59" spans="1:14">
      <c r="A59" s="513" t="s">
        <v>1008</v>
      </c>
      <c r="I59" s="156" t="s">
        <v>860</v>
      </c>
      <c r="L59" s="501">
        <f>+J43-'E2'!B41</f>
        <v>-2.3159999999734282E-2</v>
      </c>
    </row>
    <row r="60" spans="1:14">
      <c r="A60" s="487" t="s">
        <v>1157</v>
      </c>
    </row>
    <row r="62" spans="1:14">
      <c r="I62" s="750" t="s">
        <v>1158</v>
      </c>
      <c r="J62" s="486"/>
      <c r="K62" s="486"/>
      <c r="L62" s="646"/>
    </row>
    <row r="63" spans="1:14">
      <c r="I63" s="750" t="s">
        <v>1923</v>
      </c>
      <c r="J63" s="486"/>
      <c r="K63" s="486"/>
      <c r="L63" s="486"/>
    </row>
    <row r="64" spans="1:14" ht="13.2">
      <c r="I64" s="156" t="s">
        <v>836</v>
      </c>
      <c r="L64" s="751"/>
      <c r="N64"/>
    </row>
    <row r="65" spans="9:14">
      <c r="I65" s="156" t="s">
        <v>1159</v>
      </c>
      <c r="L65" s="501">
        <f>N13</f>
        <v>61919.091500000039</v>
      </c>
    </row>
    <row r="66" spans="9:14" ht="10.8" thickBot="1">
      <c r="J66" s="160" t="s">
        <v>3</v>
      </c>
      <c r="L66" s="752">
        <f>L64-L65</f>
        <v>-61919.091500000039</v>
      </c>
    </row>
    <row r="67" spans="9:14" ht="10.8" thickTop="1"/>
    <row r="70" spans="9:14">
      <c r="I70" s="750" t="s">
        <v>1160</v>
      </c>
      <c r="J70" s="486"/>
      <c r="K70" s="486"/>
      <c r="L70" s="646"/>
    </row>
    <row r="71" spans="9:14">
      <c r="I71" s="750" t="s">
        <v>1161</v>
      </c>
      <c r="J71" s="486"/>
      <c r="K71" s="486"/>
      <c r="L71" s="486"/>
    </row>
    <row r="72" spans="9:14" ht="13.2">
      <c r="I72" s="156" t="s">
        <v>836</v>
      </c>
      <c r="L72" s="751">
        <v>68982.562719218869</v>
      </c>
      <c r="N72"/>
    </row>
    <row r="73" spans="9:14">
      <c r="I73" s="156" t="s">
        <v>1159</v>
      </c>
      <c r="L73" s="501">
        <f>N16</f>
        <v>68985.665640000036</v>
      </c>
    </row>
    <row r="74" spans="9:14" ht="10.8" thickBot="1">
      <c r="J74" s="160" t="s">
        <v>3</v>
      </c>
      <c r="L74" s="752">
        <f>L72-L73-0.5</f>
        <v>-3.6029207811661763</v>
      </c>
    </row>
    <row r="75" spans="9:14" ht="10.8" thickTop="1"/>
    <row r="77" spans="9:14">
      <c r="J77" s="742">
        <f>'E2'!B41</f>
        <v>6943</v>
      </c>
      <c r="L77" s="742">
        <f>'Rev Exp'!I172/1000</f>
        <v>1657.1914635230899</v>
      </c>
      <c r="N77" s="742">
        <f>'Rev Exp'!J172/1000</f>
        <v>14918.308413523064</v>
      </c>
    </row>
    <row r="78" spans="9:14">
      <c r="J78" s="742">
        <f>J43-J77</f>
        <v>-2.3159999999734282E-2</v>
      </c>
      <c r="L78" s="742">
        <f>L25-L77</f>
        <v>-1.1141310096718371E-11</v>
      </c>
      <c r="N78" s="742">
        <f>N25-N77</f>
        <v>-0.11694999999235733</v>
      </c>
    </row>
  </sheetData>
  <mergeCells count="8">
    <mergeCell ref="A45:P45"/>
    <mergeCell ref="A3:P3"/>
    <mergeCell ref="A4:P4"/>
    <mergeCell ref="A5:P5"/>
    <mergeCell ref="A6:P6"/>
    <mergeCell ref="J8:N8"/>
    <mergeCell ref="C10:H10"/>
    <mergeCell ref="J9:N9"/>
  </mergeCells>
  <printOptions horizontalCentered="1"/>
  <pageMargins left="0.7" right="0.7" top="0.5" bottom="0.5" header="0.3" footer="0.3"/>
  <pageSetup scale="96" fitToWidth="0" orientation="landscape" r:id="rId1"/>
  <rowBreaks count="1" manualBreakCount="1">
    <brk id="5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E19C7-0311-46C0-8A42-4A14098EF0FF}">
  <sheetPr>
    <tabColor rgb="FFFFFFCC"/>
  </sheetPr>
  <dimension ref="A1:AM36"/>
  <sheetViews>
    <sheetView showGridLines="0" zoomScaleNormal="100" zoomScaleSheetLayoutView="100" workbookViewId="0"/>
  </sheetViews>
  <sheetFormatPr defaultColWidth="7" defaultRowHeight="10.199999999999999"/>
  <cols>
    <col min="1" max="1" width="3.88671875" style="516" customWidth="1"/>
    <col min="2" max="2" width="1.6640625" style="516" customWidth="1"/>
    <col min="3" max="3" width="2.88671875" style="516" customWidth="1"/>
    <col min="4" max="4" width="6.109375" style="516" customWidth="1"/>
    <col min="5" max="6" width="6.44140625" style="516" customWidth="1"/>
    <col min="7" max="7" width="12.44140625" style="516" customWidth="1"/>
    <col min="8" max="39" width="11.109375" style="516" customWidth="1"/>
    <col min="40" max="40" width="12.6640625" style="516" customWidth="1"/>
    <col min="41" max="41" width="12.5546875" style="516" customWidth="1"/>
    <col min="42" max="44" width="13.33203125" style="516" customWidth="1"/>
    <col min="45" max="49" width="20" style="516" customWidth="1"/>
    <col min="50" max="258" width="7" style="516"/>
    <col min="259" max="259" width="4.44140625" style="516" customWidth="1"/>
    <col min="260" max="261" width="2.88671875" style="516" customWidth="1"/>
    <col min="262" max="262" width="4.44140625" style="516" customWidth="1"/>
    <col min="263" max="265" width="6.5546875" style="516" customWidth="1"/>
    <col min="266" max="266" width="9.44140625" style="516" customWidth="1"/>
    <col min="267" max="16384" width="7" style="516"/>
  </cols>
  <sheetData>
    <row r="1" spans="1:39">
      <c r="A1" s="525"/>
      <c r="B1" s="1193"/>
      <c r="C1" s="1193"/>
      <c r="D1" s="1193"/>
      <c r="E1" s="1193"/>
      <c r="F1" s="1193"/>
      <c r="R1" s="517" t="s">
        <v>1162</v>
      </c>
      <c r="AC1" s="517" t="s">
        <v>1162</v>
      </c>
      <c r="AD1" s="517"/>
      <c r="AM1" s="517" t="s">
        <v>1162</v>
      </c>
    </row>
    <row r="2" spans="1:39">
      <c r="A2" s="519"/>
      <c r="B2" s="1173"/>
      <c r="C2" s="1173"/>
      <c r="D2" s="1173"/>
      <c r="E2" s="1173"/>
      <c r="F2" s="1173"/>
      <c r="G2" s="519"/>
      <c r="H2" s="519"/>
      <c r="R2" s="517" t="s">
        <v>996</v>
      </c>
      <c r="AC2" s="517" t="s">
        <v>1011</v>
      </c>
      <c r="AD2" s="517"/>
      <c r="AM2" s="517" t="s">
        <v>1016</v>
      </c>
    </row>
    <row r="3" spans="1:39">
      <c r="H3" s="519"/>
      <c r="K3" s="519" t="s">
        <v>4</v>
      </c>
      <c r="L3" s="519"/>
      <c r="V3" s="519" t="s">
        <v>4</v>
      </c>
      <c r="AG3" s="519" t="s">
        <v>4</v>
      </c>
    </row>
    <row r="4" spans="1:39">
      <c r="H4" s="519"/>
      <c r="K4" s="519" t="s">
        <v>1163</v>
      </c>
      <c r="L4" s="519"/>
      <c r="V4" s="519" t="s">
        <v>1163</v>
      </c>
      <c r="AG4" s="519" t="s">
        <v>1163</v>
      </c>
    </row>
    <row r="5" spans="1:39">
      <c r="A5" s="528"/>
      <c r="B5" s="528"/>
      <c r="C5" s="528"/>
      <c r="D5" s="528"/>
      <c r="E5" s="528"/>
      <c r="F5" s="528"/>
      <c r="G5" s="528"/>
      <c r="H5" s="561"/>
      <c r="K5" s="561" t="s">
        <v>1427</v>
      </c>
      <c r="L5" s="561"/>
      <c r="M5" s="528"/>
      <c r="N5" s="528"/>
      <c r="O5" s="528"/>
      <c r="P5" s="528"/>
      <c r="Q5" s="528"/>
      <c r="R5" s="528"/>
      <c r="S5" s="528"/>
      <c r="T5" s="528"/>
      <c r="V5" s="561" t="s">
        <v>1427</v>
      </c>
      <c r="AA5" s="528"/>
      <c r="AB5" s="528"/>
      <c r="AC5" s="528"/>
      <c r="AD5" s="528"/>
      <c r="AE5" s="528"/>
      <c r="AG5" s="561" t="s">
        <v>1427</v>
      </c>
      <c r="AH5" s="528"/>
      <c r="AI5" s="528"/>
      <c r="AJ5" s="528"/>
      <c r="AK5" s="528"/>
      <c r="AL5" s="528"/>
      <c r="AM5" s="528"/>
    </row>
    <row r="6" spans="1:39">
      <c r="H6" s="519"/>
      <c r="K6" s="519" t="s">
        <v>799</v>
      </c>
      <c r="L6" s="519"/>
      <c r="V6" s="519" t="s">
        <v>799</v>
      </c>
      <c r="AG6" s="519" t="s">
        <v>799</v>
      </c>
    </row>
    <row r="7" spans="1:39">
      <c r="A7" s="519"/>
      <c r="G7" s="519"/>
      <c r="H7" s="519"/>
    </row>
    <row r="8" spans="1:39" ht="51">
      <c r="A8" s="629" t="s">
        <v>800</v>
      </c>
      <c r="C8" s="753" t="s">
        <v>0</v>
      </c>
      <c r="D8" s="753"/>
      <c r="E8" s="753"/>
      <c r="F8" s="753"/>
      <c r="G8" s="754"/>
      <c r="H8" s="654" t="str">
        <f>'Rev Exp'!K7</f>
        <v>Adjustor
 Revenues</v>
      </c>
      <c r="I8" s="654" t="str">
        <f>'Rev Exp'!L7</f>
        <v>Advertising and Other Excluded Items</v>
      </c>
      <c r="J8" s="654" t="str">
        <f>'Rev Exp'!M7</f>
        <v>Bad Debt Expense</v>
      </c>
      <c r="K8" s="654" t="str">
        <f>'Rev Exp'!N7</f>
        <v>Board of Directors Fees</v>
      </c>
      <c r="L8" s="654" t="str">
        <f>'Rev Exp'!O7</f>
        <v>CARES
 Adjustment</v>
      </c>
      <c r="M8" s="654" t="str">
        <f>'Rev Exp'!P7</f>
        <v>Customer, Weather &amp; Recalculation of Unbilled Revenue</v>
      </c>
      <c r="N8" s="654" t="str">
        <f>'Rev Exp'!Q7</f>
        <v xml:space="preserve">Depreciation &amp; Amortization Expense </v>
      </c>
      <c r="O8" s="654" t="str">
        <f>'Rev Exp'!R7</f>
        <v>Depreciation &amp; Amortization Expense Annualization - Retirement</v>
      </c>
      <c r="P8" s="654" t="str">
        <f>'Rev Exp'!S7</f>
        <v>D&amp;O Liability Insurance, Dues, and Meals Expense</v>
      </c>
      <c r="Q8" s="654" t="str">
        <f>'Rev Exp'!T7</f>
        <v>DSM</v>
      </c>
      <c r="R8" s="654" t="str">
        <f>'Rev Exp'!U7</f>
        <v>Fortis Management Fees</v>
      </c>
      <c r="S8" s="654" t="str">
        <f>'Rev Exp'!V7</f>
        <v>Golden Valley Pipeline Operations</v>
      </c>
      <c r="T8" s="654" t="str">
        <f>'Rev Exp'!W7</f>
        <v>Griffith Plant Operations</v>
      </c>
      <c r="U8" s="654" t="str">
        <f>'Rev Exp'!X7</f>
        <v>Income Tax Expense</v>
      </c>
      <c r="V8" s="654" t="str">
        <f>'Rev Exp'!Y7</f>
        <v xml:space="preserve">Injuries &amp; Damages </v>
      </c>
      <c r="W8" s="654" t="str">
        <f>'Rev Exp'!Z7</f>
        <v>Long-Term Incentive Compensation</v>
      </c>
      <c r="X8" s="654" t="str">
        <f>'Rev Exp'!AA7</f>
        <v>Miscellaneous Adjustment</v>
      </c>
      <c r="Y8" s="654" t="str">
        <f>'Rev Exp'!AB7</f>
        <v>Miscellaneous Service Revenues</v>
      </c>
      <c r="Z8" s="654" t="str">
        <f>'Rev Exp'!AC7</f>
        <v>Payment Fees for Low Income Customers</v>
      </c>
      <c r="AA8" s="654" t="str">
        <f>'Rev Exp'!AD7</f>
        <v>Payroll and Benefit Expense</v>
      </c>
      <c r="AB8" s="654" t="str">
        <f>'Rev Exp'!AE7</f>
        <v>Payroll Tax Expense</v>
      </c>
      <c r="AC8" s="654" t="str">
        <f>'Rev Exp'!AF7</f>
        <v>Pension</v>
      </c>
      <c r="AD8" s="654" t="str">
        <f>'Rev Exp'!AG7</f>
        <v>Post-Retirement Benefits</v>
      </c>
      <c r="AE8" s="654" t="str">
        <f>'Rev Exp'!AH7</f>
        <v>Property and Liability Insurance</v>
      </c>
      <c r="AF8" s="654" t="str">
        <f>'Rev Exp'!AI7</f>
        <v>Property Tax Expense</v>
      </c>
      <c r="AG8" s="654" t="str">
        <f>'Rev Exp'!AJ7</f>
        <v>Purchased Gas Cost and Gas Cost Revenue</v>
      </c>
      <c r="AH8" s="654" t="str">
        <f>'Rev Exp'!AK7</f>
        <v>Rate Case Expense</v>
      </c>
      <c r="AI8" s="654" t="str">
        <f>'Rev Exp'!AL7</f>
        <v>Sales for Resale</v>
      </c>
      <c r="AJ8" s="654" t="str">
        <f>'Rev Exp'!AM7</f>
        <v>SERP</v>
      </c>
      <c r="AK8" s="654" t="str">
        <f>'Rev Exp'!AN7</f>
        <v>Short-Term Incentive Compensation</v>
      </c>
      <c r="AL8" s="654" t="str">
        <f>'Rev Exp'!AO7</f>
        <v>Transportation Depreciation Adjustment</v>
      </c>
      <c r="AM8" s="654" t="s">
        <v>7</v>
      </c>
    </row>
    <row r="9" spans="1:39">
      <c r="A9" s="519"/>
      <c r="AM9" s="561"/>
    </row>
    <row r="10" spans="1:39">
      <c r="A10" s="519"/>
      <c r="C10" s="516" t="s">
        <v>44</v>
      </c>
      <c r="AM10" s="554"/>
    </row>
    <row r="11" spans="1:39">
      <c r="A11" s="519">
        <v>1</v>
      </c>
      <c r="D11" s="528" t="s">
        <v>1436</v>
      </c>
      <c r="H11" s="526">
        <f>SUM('Rev Exp'!K10,'Rev Exp'!K12)/1000</f>
        <v>3202.922</v>
      </c>
      <c r="I11" s="526">
        <f>SUM('Rev Exp'!L10,'Rev Exp'!L12)/1000</f>
        <v>0</v>
      </c>
      <c r="J11" s="526">
        <f>SUM('Rev Exp'!M10,'Rev Exp'!M12)/1000</f>
        <v>0</v>
      </c>
      <c r="K11" s="526">
        <f>SUM('Rev Exp'!N10,'Rev Exp'!N12)/1000</f>
        <v>0</v>
      </c>
      <c r="L11" s="526">
        <f>SUM('Rev Exp'!O10,'Rev Exp'!O12)/1000</f>
        <v>477.63</v>
      </c>
      <c r="M11" s="526">
        <f>SUM('Rev Exp'!P10,'Rev Exp'!P12)/1000</f>
        <v>-151.239</v>
      </c>
      <c r="N11" s="526">
        <f>SUM('Rev Exp'!Q10,'Rev Exp'!Q12)/1000</f>
        <v>0</v>
      </c>
      <c r="O11" s="526">
        <f>SUM('Rev Exp'!R10,'Rev Exp'!R12)/1000</f>
        <v>0</v>
      </c>
      <c r="P11" s="526">
        <f>SUM('Rev Exp'!S10,'Rev Exp'!S12)/1000</f>
        <v>0</v>
      </c>
      <c r="Q11" s="526">
        <f>SUM('Rev Exp'!T10,'Rev Exp'!T12)/1000</f>
        <v>0</v>
      </c>
      <c r="R11" s="526">
        <f>SUM('Rev Exp'!U10,'Rev Exp'!U12)/1000</f>
        <v>0</v>
      </c>
      <c r="S11" s="526">
        <f>SUM('Rev Exp'!V10,'Rev Exp'!V12)/1000</f>
        <v>-571.26</v>
      </c>
      <c r="T11" s="526">
        <f>SUM('Rev Exp'!W10,'Rev Exp'!W12)/1000</f>
        <v>-252.23193000000001</v>
      </c>
      <c r="U11" s="526">
        <f>SUM('Rev Exp'!X10,'Rev Exp'!X12)/1000</f>
        <v>0</v>
      </c>
      <c r="V11" s="526">
        <f>SUM('Rev Exp'!Y10,'Rev Exp'!Y12)/1000</f>
        <v>0</v>
      </c>
      <c r="W11" s="526">
        <f>SUM('Rev Exp'!Z10,'Rev Exp'!Z12)/1000</f>
        <v>0</v>
      </c>
      <c r="X11" s="526">
        <f>SUM('Rev Exp'!AA10,'Rev Exp'!AA12)/1000</f>
        <v>0</v>
      </c>
      <c r="Y11" s="526">
        <f>SUM('Rev Exp'!AB10,'Rev Exp'!AB12)/1000</f>
        <v>0</v>
      </c>
      <c r="Z11" s="526">
        <f>SUM('Rev Exp'!AC10,'Rev Exp'!AC12)/1000</f>
        <v>0</v>
      </c>
      <c r="AA11" s="526">
        <f>SUM('Rev Exp'!AD10,'Rev Exp'!AD12)/1000</f>
        <v>0</v>
      </c>
      <c r="AB11" s="526">
        <f>SUM('Rev Exp'!AE10,'Rev Exp'!AE12)/1000</f>
        <v>0</v>
      </c>
      <c r="AC11" s="526">
        <f>SUM('Rev Exp'!AF10,'Rev Exp'!AF12)/1000</f>
        <v>0</v>
      </c>
      <c r="AD11" s="526">
        <f>SUM('Rev Exp'!AG10,'Rev Exp'!AG12)/1000</f>
        <v>0</v>
      </c>
      <c r="AE11" s="526">
        <f>SUM('Rev Exp'!AH10,'Rev Exp'!AH12)/1000</f>
        <v>0</v>
      </c>
      <c r="AF11" s="526">
        <f>SUM('Rev Exp'!AI10,'Rev Exp'!AI12)/1000</f>
        <v>0</v>
      </c>
      <c r="AG11" s="526">
        <f>SUM('Rev Exp'!AJ10,'Rev Exp'!AJ12)/1000</f>
        <v>-58434.729569999959</v>
      </c>
      <c r="AH11" s="526">
        <f>SUM('Rev Exp'!AK10,'Rev Exp'!AK12)/1000</f>
        <v>0</v>
      </c>
      <c r="AI11" s="526">
        <f>SUM('Rev Exp'!AL10,'Rev Exp'!AL12)/1000</f>
        <v>0</v>
      </c>
      <c r="AJ11" s="526">
        <f>SUM('Rev Exp'!AM10,'Rev Exp'!AM12)/1000</f>
        <v>0</v>
      </c>
      <c r="AK11" s="526">
        <f>SUM('Rev Exp'!AN10,'Rev Exp'!AN12)/1000</f>
        <v>0</v>
      </c>
      <c r="AL11" s="526">
        <f>SUM('Rev Exp'!AO10,'Rev Exp'!AO12)/1000</f>
        <v>0</v>
      </c>
      <c r="AM11" s="526">
        <f>SUM(H11:AL11)</f>
        <v>-55728.908499999961</v>
      </c>
    </row>
    <row r="12" spans="1:39">
      <c r="A12" s="519">
        <f>+A11+1</f>
        <v>2</v>
      </c>
      <c r="D12" s="528" t="s">
        <v>322</v>
      </c>
      <c r="H12" s="528">
        <f>'Rev Exp'!K11/1000</f>
        <v>0</v>
      </c>
      <c r="I12" s="528">
        <f>'Rev Exp'!L11/1000</f>
        <v>0</v>
      </c>
      <c r="J12" s="528">
        <f>'Rev Exp'!M11/1000</f>
        <v>0</v>
      </c>
      <c r="K12" s="528">
        <f>'Rev Exp'!N11/1000</f>
        <v>0</v>
      </c>
      <c r="L12" s="528">
        <f>'Rev Exp'!O11/1000</f>
        <v>0</v>
      </c>
      <c r="M12" s="528">
        <f>'Rev Exp'!P11/1000</f>
        <v>0</v>
      </c>
      <c r="N12" s="528">
        <f>'Rev Exp'!Q11/1000</f>
        <v>0</v>
      </c>
      <c r="O12" s="528">
        <f>'Rev Exp'!R11/1000</f>
        <v>0</v>
      </c>
      <c r="P12" s="528">
        <f>'Rev Exp'!S11/1000</f>
        <v>0</v>
      </c>
      <c r="Q12" s="528">
        <f>'Rev Exp'!T11/1000</f>
        <v>0</v>
      </c>
      <c r="R12" s="528">
        <f>'Rev Exp'!U11/1000</f>
        <v>0</v>
      </c>
      <c r="S12" s="528">
        <f>'Rev Exp'!V11/1000</f>
        <v>0</v>
      </c>
      <c r="T12" s="528">
        <f>'Rev Exp'!W11/1000</f>
        <v>0</v>
      </c>
      <c r="U12" s="528">
        <f>'Rev Exp'!X11/1000</f>
        <v>0</v>
      </c>
      <c r="V12" s="528">
        <f>'Rev Exp'!Y11/1000</f>
        <v>0</v>
      </c>
      <c r="W12" s="528">
        <f>'Rev Exp'!Z11/1000</f>
        <v>0</v>
      </c>
      <c r="X12" s="528">
        <f>'Rev Exp'!AA11/1000</f>
        <v>0</v>
      </c>
      <c r="Y12" s="528">
        <f>'Rev Exp'!AB11/1000</f>
        <v>0</v>
      </c>
      <c r="Z12" s="528">
        <f>'Rev Exp'!AC11/1000</f>
        <v>0</v>
      </c>
      <c r="AA12" s="528">
        <f>'Rev Exp'!AD11/1000</f>
        <v>0</v>
      </c>
      <c r="AB12" s="528">
        <f>'Rev Exp'!AE11/1000</f>
        <v>0</v>
      </c>
      <c r="AC12" s="528">
        <f>'Rev Exp'!AF11/1000</f>
        <v>0</v>
      </c>
      <c r="AD12" s="528">
        <f>'Rev Exp'!AG11/1000</f>
        <v>0</v>
      </c>
      <c r="AE12" s="528">
        <f>'Rev Exp'!AH11/1000</f>
        <v>0</v>
      </c>
      <c r="AF12" s="528">
        <f>'Rev Exp'!AI11/1000</f>
        <v>0</v>
      </c>
      <c r="AG12" s="528">
        <f>'Rev Exp'!AJ11/1000</f>
        <v>0</v>
      </c>
      <c r="AH12" s="528">
        <f>'Rev Exp'!AK11/1000</f>
        <v>0</v>
      </c>
      <c r="AI12" s="528">
        <f>'Rev Exp'!AL11/1000</f>
        <v>-371.07299999999998</v>
      </c>
      <c r="AJ12" s="528">
        <f>'Rev Exp'!AM11/1000</f>
        <v>0</v>
      </c>
      <c r="AK12" s="528">
        <f>'Rev Exp'!AN11/1000</f>
        <v>0</v>
      </c>
      <c r="AL12" s="528">
        <f>'Rev Exp'!AO11/1000</f>
        <v>0</v>
      </c>
      <c r="AM12" s="526">
        <f>SUM(H12:AL12)</f>
        <v>-371.07299999999998</v>
      </c>
    </row>
    <row r="13" spans="1:39">
      <c r="A13" s="519">
        <f>+A12+1</f>
        <v>3</v>
      </c>
      <c r="D13" s="528" t="s">
        <v>59</v>
      </c>
      <c r="G13" s="517"/>
      <c r="H13" s="528">
        <f>SUM('Rev Exp'!K16:K18)/1000</f>
        <v>-185.88591999999994</v>
      </c>
      <c r="I13" s="528">
        <f>SUM('Rev Exp'!L16:L18)/1000</f>
        <v>0</v>
      </c>
      <c r="J13" s="528">
        <f>SUM('Rev Exp'!M16:M18)/1000</f>
        <v>0</v>
      </c>
      <c r="K13" s="528">
        <f>SUM('Rev Exp'!N16:N18)/1000</f>
        <v>0</v>
      </c>
      <c r="L13" s="528">
        <f>SUM('Rev Exp'!O16:O18)/1000</f>
        <v>0</v>
      </c>
      <c r="M13" s="528">
        <f>SUM('Rev Exp'!P16:P18)/1000</f>
        <v>0</v>
      </c>
      <c r="N13" s="528">
        <f>SUM('Rev Exp'!Q16:Q18)/1000</f>
        <v>0</v>
      </c>
      <c r="O13" s="528">
        <f>SUM('Rev Exp'!R16:R18)/1000</f>
        <v>0</v>
      </c>
      <c r="P13" s="528">
        <f>SUM('Rev Exp'!S16:S18)/1000</f>
        <v>0</v>
      </c>
      <c r="Q13" s="528">
        <f>SUM('Rev Exp'!T16:T18)/1000</f>
        <v>0</v>
      </c>
      <c r="R13" s="528">
        <f>SUM('Rev Exp'!U16:U18)/1000</f>
        <v>0</v>
      </c>
      <c r="S13" s="528">
        <f>SUM('Rev Exp'!V16:V18)/1000</f>
        <v>0</v>
      </c>
      <c r="T13" s="528">
        <f>SUM('Rev Exp'!W16:W18)/1000</f>
        <v>0</v>
      </c>
      <c r="U13" s="528">
        <f>SUM('Rev Exp'!X16:X18)/1000</f>
        <v>0</v>
      </c>
      <c r="V13" s="528">
        <f>SUM('Rev Exp'!Y16:Y18)/1000</f>
        <v>0</v>
      </c>
      <c r="W13" s="528">
        <f>SUM('Rev Exp'!Z16:Z18)/1000</f>
        <v>0</v>
      </c>
      <c r="X13" s="528">
        <f>SUM('Rev Exp'!AA16:AA18)/1000</f>
        <v>0</v>
      </c>
      <c r="Y13" s="528">
        <f>SUM('Rev Exp'!AB16:AB18)/1000</f>
        <v>299.47000000000003</v>
      </c>
      <c r="Z13" s="528">
        <f>SUM('Rev Exp'!AC16:AC18)/1000</f>
        <v>0</v>
      </c>
      <c r="AA13" s="528">
        <f>SUM('Rev Exp'!AD16:AD18)/1000</f>
        <v>0</v>
      </c>
      <c r="AB13" s="528">
        <f>SUM('Rev Exp'!AE16:AE18)/1000</f>
        <v>0</v>
      </c>
      <c r="AC13" s="528">
        <f>SUM('Rev Exp'!AF16:AF18)/1000</f>
        <v>0</v>
      </c>
      <c r="AD13" s="528">
        <f>SUM('Rev Exp'!AG16:AG18)/1000</f>
        <v>0</v>
      </c>
      <c r="AE13" s="528">
        <f>SUM('Rev Exp'!AH16:AH18)/1000</f>
        <v>0</v>
      </c>
      <c r="AF13" s="528">
        <f>SUM('Rev Exp'!AI16:AI18)/1000</f>
        <v>0</v>
      </c>
      <c r="AG13" s="528">
        <f>SUM('Rev Exp'!AJ16:AJ18)/1000</f>
        <v>-1188.93694</v>
      </c>
      <c r="AH13" s="528">
        <f>SUM('Rev Exp'!AK16:AK18)/1000</f>
        <v>0</v>
      </c>
      <c r="AI13" s="528">
        <f>SUM('Rev Exp'!AL16:AL18)/1000</f>
        <v>0</v>
      </c>
      <c r="AJ13" s="528">
        <f>SUM('Rev Exp'!AM16:AM18)/1000</f>
        <v>0</v>
      </c>
      <c r="AK13" s="528">
        <f>SUM('Rev Exp'!AN16:AN18)/1000</f>
        <v>0</v>
      </c>
      <c r="AL13" s="528">
        <f>SUM('Rev Exp'!AO16:AO18)/1000</f>
        <v>0</v>
      </c>
      <c r="AM13" s="526">
        <f>SUM(H13:AL13)</f>
        <v>-1075.35286</v>
      </c>
    </row>
    <row r="14" spans="1:39">
      <c r="A14" s="519">
        <f>+A13+1</f>
        <v>4</v>
      </c>
      <c r="E14" s="528" t="s">
        <v>153</v>
      </c>
      <c r="H14" s="755">
        <f t="shared" ref="H14" si="0">SUM(H11:H13)</f>
        <v>3017.0360799999999</v>
      </c>
      <c r="I14" s="755">
        <f t="shared" ref="I14:AL14" si="1">SUM(I11:I13)</f>
        <v>0</v>
      </c>
      <c r="J14" s="755">
        <f t="shared" si="1"/>
        <v>0</v>
      </c>
      <c r="K14" s="755">
        <f t="shared" ref="K14" si="2">SUM(K11:K13)</f>
        <v>0</v>
      </c>
      <c r="L14" s="755">
        <f t="shared" ref="L14" si="3">SUM(L11:L13)</f>
        <v>477.63</v>
      </c>
      <c r="M14" s="755">
        <f t="shared" si="1"/>
        <v>-151.239</v>
      </c>
      <c r="N14" s="755">
        <f t="shared" si="1"/>
        <v>0</v>
      </c>
      <c r="O14" s="755">
        <f t="shared" ref="O14:P14" si="4">SUM(O11:O13)</f>
        <v>0</v>
      </c>
      <c r="P14" s="755">
        <f t="shared" si="4"/>
        <v>0</v>
      </c>
      <c r="Q14" s="755">
        <f t="shared" ref="Q14" si="5">SUM(Q11:Q13)</f>
        <v>0</v>
      </c>
      <c r="R14" s="755">
        <f t="shared" si="1"/>
        <v>0</v>
      </c>
      <c r="S14" s="755">
        <f t="shared" si="1"/>
        <v>-571.26</v>
      </c>
      <c r="T14" s="755">
        <f t="shared" si="1"/>
        <v>-252.23193000000001</v>
      </c>
      <c r="U14" s="755">
        <f t="shared" si="1"/>
        <v>0</v>
      </c>
      <c r="V14" s="755">
        <f t="shared" si="1"/>
        <v>0</v>
      </c>
      <c r="W14" s="755">
        <f t="shared" si="1"/>
        <v>0</v>
      </c>
      <c r="X14" s="755">
        <f t="shared" ref="X14" si="6">SUM(X11:X13)</f>
        <v>0</v>
      </c>
      <c r="Y14" s="755">
        <f t="shared" si="1"/>
        <v>299.47000000000003</v>
      </c>
      <c r="Z14" s="755">
        <f t="shared" si="1"/>
        <v>0</v>
      </c>
      <c r="AA14" s="755">
        <f t="shared" si="1"/>
        <v>0</v>
      </c>
      <c r="AB14" s="755">
        <f t="shared" si="1"/>
        <v>0</v>
      </c>
      <c r="AC14" s="755">
        <f t="shared" si="1"/>
        <v>0</v>
      </c>
      <c r="AD14" s="755">
        <f t="shared" si="1"/>
        <v>0</v>
      </c>
      <c r="AE14" s="755">
        <f t="shared" si="1"/>
        <v>0</v>
      </c>
      <c r="AF14" s="755">
        <f t="shared" si="1"/>
        <v>0</v>
      </c>
      <c r="AG14" s="755">
        <f t="shared" si="1"/>
        <v>-59623.666509999959</v>
      </c>
      <c r="AH14" s="755">
        <f t="shared" si="1"/>
        <v>0</v>
      </c>
      <c r="AI14" s="755">
        <f t="shared" si="1"/>
        <v>-371.07299999999998</v>
      </c>
      <c r="AJ14" s="755">
        <f t="shared" ref="AJ14" si="7">SUM(AJ11:AJ13)</f>
        <v>0</v>
      </c>
      <c r="AK14" s="755">
        <f t="shared" si="1"/>
        <v>0</v>
      </c>
      <c r="AL14" s="755">
        <f t="shared" si="1"/>
        <v>0</v>
      </c>
      <c r="AM14" s="755">
        <f>SUM(AM11:AM13)</f>
        <v>-57175.334359999957</v>
      </c>
    </row>
    <row r="15" spans="1:39">
      <c r="A15" s="519"/>
      <c r="E15" s="528"/>
      <c r="H15" s="526"/>
      <c r="I15" s="526"/>
      <c r="J15" s="526"/>
      <c r="K15" s="526"/>
      <c r="L15" s="526"/>
      <c r="M15" s="526"/>
      <c r="N15" s="526"/>
      <c r="O15" s="526"/>
      <c r="P15" s="526"/>
      <c r="Q15" s="526"/>
      <c r="R15" s="526"/>
      <c r="S15" s="526"/>
      <c r="T15" s="526"/>
      <c r="U15" s="526"/>
      <c r="V15" s="526"/>
      <c r="W15" s="526"/>
      <c r="X15" s="526"/>
      <c r="Y15" s="526"/>
      <c r="Z15" s="526"/>
      <c r="AA15" s="526"/>
      <c r="AB15" s="526"/>
      <c r="AC15" s="526"/>
      <c r="AD15" s="526"/>
      <c r="AE15" s="526"/>
      <c r="AF15" s="526"/>
      <c r="AG15" s="526"/>
      <c r="AH15" s="526"/>
      <c r="AI15" s="526"/>
      <c r="AJ15" s="526"/>
      <c r="AK15" s="526"/>
      <c r="AL15" s="526"/>
      <c r="AM15" s="526"/>
    </row>
    <row r="16" spans="1:39">
      <c r="A16" s="519"/>
      <c r="C16" s="516" t="s">
        <v>336</v>
      </c>
      <c r="H16" s="526"/>
      <c r="I16" s="526"/>
      <c r="J16" s="526"/>
      <c r="K16" s="526"/>
      <c r="L16" s="526"/>
      <c r="M16" s="526"/>
      <c r="N16" s="526"/>
      <c r="O16" s="526"/>
      <c r="P16" s="526"/>
      <c r="Q16" s="526"/>
      <c r="R16" s="526"/>
      <c r="S16" s="526"/>
      <c r="T16" s="526"/>
      <c r="U16" s="526"/>
      <c r="V16" s="526"/>
      <c r="W16" s="526"/>
      <c r="X16" s="526"/>
      <c r="Y16" s="526"/>
      <c r="Z16" s="526"/>
      <c r="AA16" s="526"/>
      <c r="AB16" s="526"/>
      <c r="AC16" s="526"/>
      <c r="AD16" s="526"/>
      <c r="AE16" s="526"/>
      <c r="AF16" s="526"/>
      <c r="AG16" s="526"/>
      <c r="AH16" s="526"/>
      <c r="AI16" s="526"/>
      <c r="AJ16" s="526"/>
      <c r="AK16" s="526"/>
      <c r="AL16" s="526"/>
      <c r="AM16" s="526"/>
    </row>
    <row r="17" spans="1:39">
      <c r="A17" s="519">
        <f>+A14+1</f>
        <v>5</v>
      </c>
      <c r="D17" s="516" t="s">
        <v>337</v>
      </c>
      <c r="G17" s="517"/>
      <c r="H17" s="528">
        <f>((SUM('Rev Exp'!K24:K84)/1000)+'Rev Exp'!K141/1000)</f>
        <v>0</v>
      </c>
      <c r="I17" s="528">
        <f>((SUM('Rev Exp'!L24:L84)/1000)+'Rev Exp'!L141/1000)</f>
        <v>-41.166879999999999</v>
      </c>
      <c r="J17" s="528">
        <f>((SUM('Rev Exp'!M24:M84)/1000)+'Rev Exp'!M141/1000)</f>
        <v>-17.792999999999999</v>
      </c>
      <c r="K17" s="528">
        <f>((SUM('Rev Exp'!N24:N84)/1000)+'Rev Exp'!N141/1000)</f>
        <v>-74.498000000000005</v>
      </c>
      <c r="L17" s="528">
        <f>((SUM('Rev Exp'!O24:O84)/1000)+'Rev Exp'!O141/1000)</f>
        <v>0</v>
      </c>
      <c r="M17" s="528">
        <f>((SUM('Rev Exp'!P24:P84)/1000)+'Rev Exp'!P141/1000)</f>
        <v>0</v>
      </c>
      <c r="N17" s="528">
        <f>((SUM('Rev Exp'!Q24:Q84)/1000)+'Rev Exp'!Q141/1000)</f>
        <v>0</v>
      </c>
      <c r="O17" s="528">
        <f>((SUM('Rev Exp'!R24:R84)/1000)+'Rev Exp'!R141/1000)</f>
        <v>0</v>
      </c>
      <c r="P17" s="528">
        <f>((SUM('Rev Exp'!S24:S84)/1000)+'Rev Exp'!S141/1000)</f>
        <v>-155.494</v>
      </c>
      <c r="Q17" s="528">
        <f>((SUM('Rev Exp'!T24:T84)/1000)+'Rev Exp'!T141/1000)</f>
        <v>55.977486666666664</v>
      </c>
      <c r="R17" s="528">
        <f>((SUM('Rev Exp'!U24:U84)/1000)+'Rev Exp'!U141/1000)</f>
        <v>-545.77499999999998</v>
      </c>
      <c r="S17" s="528">
        <f>((SUM('Rev Exp'!V24:V84)/1000)+'Rev Exp'!V141/1000)</f>
        <v>0</v>
      </c>
      <c r="T17" s="528">
        <f>((SUM('Rev Exp'!W24:W84)/1000)+'Rev Exp'!W141/1000)</f>
        <v>-100.79716000000001</v>
      </c>
      <c r="U17" s="528">
        <f>((SUM('Rev Exp'!X24:X84)/1000)+'Rev Exp'!X141/1000)</f>
        <v>0</v>
      </c>
      <c r="V17" s="528">
        <f>((SUM('Rev Exp'!Y24:Y84)/1000)+'Rev Exp'!Y141/1000)</f>
        <v>-160.50299999999999</v>
      </c>
      <c r="W17" s="528">
        <f>((SUM('Rev Exp'!Z24:Z84)/1000)+'Rev Exp'!Z141/1000)</f>
        <v>-150.97752</v>
      </c>
      <c r="X17" s="528">
        <f>((SUM('Rev Exp'!AA24:AA84)/1000)+'Rev Exp'!AA141/1000)</f>
        <v>101.1</v>
      </c>
      <c r="Y17" s="528">
        <f>((SUM('Rev Exp'!AB24:AB84)/1000)+'Rev Exp'!AB141/1000)</f>
        <v>0</v>
      </c>
      <c r="Z17" s="528">
        <f>((SUM('Rev Exp'!AC24:AC84)/1000)+'Rev Exp'!AC141/1000)</f>
        <v>18.483450000000001</v>
      </c>
      <c r="AA17" s="528">
        <f>((SUM('Rev Exp'!AD24:AD84)/1000)+'Rev Exp'!AD141/1000)</f>
        <v>787.53200000000004</v>
      </c>
      <c r="AB17" s="528">
        <f>((SUM('Rev Exp'!AE24:AE84)/1000)+'Rev Exp'!AE141/1000)</f>
        <v>0</v>
      </c>
      <c r="AC17" s="528">
        <f>((SUM('Rev Exp'!AF24:AF84)/1000)+'Rev Exp'!AF141/1000)</f>
        <v>-7.2359999999999998</v>
      </c>
      <c r="AD17" s="528">
        <f>((SUM('Rev Exp'!AG24:AG84)/1000)+'Rev Exp'!AG141/1000)</f>
        <v>-47.073999999999998</v>
      </c>
      <c r="AE17" s="528">
        <f>((SUM('Rev Exp'!AH24:AH84)/1000)+'Rev Exp'!AH141/1000)</f>
        <v>813.822</v>
      </c>
      <c r="AF17" s="528">
        <f>((SUM('Rev Exp'!AI24:AI84)/1000)+'Rev Exp'!AI141/1000)</f>
        <v>0</v>
      </c>
      <c r="AG17" s="528">
        <f>((SUM('Rev Exp'!AJ24:AJ84)/1000)+'Rev Exp'!AJ141/1000)</f>
        <v>-59623.666509999959</v>
      </c>
      <c r="AH17" s="528">
        <f>((SUM('Rev Exp'!AK24:AK84)/1000)+'Rev Exp'!AK141/1000)</f>
        <v>250</v>
      </c>
      <c r="AI17" s="528">
        <f>((SUM('Rev Exp'!AL24:AL84)/1000)+'Rev Exp'!AL141/1000)</f>
        <v>-371.07299999999998</v>
      </c>
      <c r="AJ17" s="528">
        <f>((SUM('Rev Exp'!AM24:AM84)/1000)+'Rev Exp'!AM141/1000)</f>
        <v>-83.119619999999998</v>
      </c>
      <c r="AK17" s="528">
        <f>((SUM('Rev Exp'!AN24:AN84)/1000)+'Rev Exp'!AN141/1000)</f>
        <v>-378.25799999999998</v>
      </c>
      <c r="AL17" s="528">
        <f>((SUM('Rev Exp'!AO24:AO84)/1000)+'Rev Exp'!AO141/1000)</f>
        <v>-266.2549065915797</v>
      </c>
      <c r="AM17" s="526">
        <f>SUM(H17:AL17)</f>
        <v>-59996.771659924867</v>
      </c>
    </row>
    <row r="18" spans="1:39">
      <c r="A18" s="519">
        <f t="shared" ref="A18:A21" si="8">+A17+1</f>
        <v>6</v>
      </c>
      <c r="D18" s="516" t="s">
        <v>50</v>
      </c>
      <c r="H18" s="516">
        <f>SUM('Rev Exp'!K87:K89,'Rev Exp'!K93:K97,'Rev Exp'!K101:K112,'Rev Exp'!K116:K125)/1000</f>
        <v>0</v>
      </c>
      <c r="I18" s="516">
        <f>SUM('Rev Exp'!L87:L89,'Rev Exp'!L93:L97,'Rev Exp'!L101:L112,'Rev Exp'!L116:L125)/1000</f>
        <v>0</v>
      </c>
      <c r="J18" s="516">
        <f>SUM('Rev Exp'!M87:M89,'Rev Exp'!M93:M97,'Rev Exp'!M101:M112,'Rev Exp'!M116:M125)/1000</f>
        <v>0</v>
      </c>
      <c r="K18" s="516">
        <f>SUM('Rev Exp'!N87:N89,'Rev Exp'!N93:N97,'Rev Exp'!N101:N112,'Rev Exp'!N116:N125)/1000</f>
        <v>0</v>
      </c>
      <c r="L18" s="516">
        <f>SUM('Rev Exp'!O87:O89,'Rev Exp'!O93:O97,'Rev Exp'!O101:O112,'Rev Exp'!O116:O125)/1000</f>
        <v>0</v>
      </c>
      <c r="M18" s="516">
        <f>SUM('Rev Exp'!P87:P89,'Rev Exp'!P93:P97,'Rev Exp'!P101:P112,'Rev Exp'!P116:P125)/1000</f>
        <v>0</v>
      </c>
      <c r="N18" s="516">
        <f>SUM('Rev Exp'!Q87:Q89,'Rev Exp'!Q93:Q97,'Rev Exp'!Q101:Q112,'Rev Exp'!Q116:Q125)/1000</f>
        <v>1121.328</v>
      </c>
      <c r="O18" s="528">
        <f>SUM('Rev Exp'!R87:R89,'Rev Exp'!R93:R97,'Rev Exp'!R101:R112,'Rev Exp'!R116:R125)/1000</f>
        <v>-340.80273763100001</v>
      </c>
      <c r="P18" s="528">
        <f>SUM('Rev Exp'!S87:S89,'Rev Exp'!S93:S97,'Rev Exp'!S101:S112,'Rev Exp'!S116:S125)/1000</f>
        <v>0</v>
      </c>
      <c r="Q18" s="528">
        <f>SUM('Rev Exp'!T87:T89,'Rev Exp'!T93:T97,'Rev Exp'!T101:T112,'Rev Exp'!T116:T125)/1000</f>
        <v>0</v>
      </c>
      <c r="R18" s="516">
        <f>SUM('Rev Exp'!U87:U89,'Rev Exp'!U93:U97,'Rev Exp'!U101:U112,'Rev Exp'!U116:U125)/1000</f>
        <v>0</v>
      </c>
      <c r="S18" s="516">
        <f>SUM('Rev Exp'!V87:V89,'Rev Exp'!V93:V97,'Rev Exp'!V101:V112,'Rev Exp'!V116:V125)/1000</f>
        <v>0</v>
      </c>
      <c r="T18" s="516">
        <f>SUM('Rev Exp'!W87:W89,'Rev Exp'!W93:W97,'Rev Exp'!W101:W112,'Rev Exp'!W116:W125)/1000</f>
        <v>0</v>
      </c>
      <c r="U18" s="516">
        <f>SUM('Rev Exp'!X87:X89,'Rev Exp'!X93:X97,'Rev Exp'!X101:X112,'Rev Exp'!X116:X125)/1000</f>
        <v>0</v>
      </c>
      <c r="V18" s="516">
        <f>SUM('Rev Exp'!Y87:Y89,'Rev Exp'!Y93:Y97,'Rev Exp'!Y101:Y112,'Rev Exp'!Y116:Y125)/1000</f>
        <v>0</v>
      </c>
      <c r="W18" s="516">
        <f>SUM('Rev Exp'!Z87:Z89,'Rev Exp'!Z93:Z97,'Rev Exp'!Z101:Z112,'Rev Exp'!Z116:Z125)/1000</f>
        <v>0</v>
      </c>
      <c r="X18" s="516">
        <f>SUM('Rev Exp'!AA87:AA89,'Rev Exp'!AA93:AA97,'Rev Exp'!AA101:AA112,'Rev Exp'!AA116:AA125)/1000</f>
        <v>0</v>
      </c>
      <c r="Y18" s="516">
        <f>SUM('Rev Exp'!AB87:AB89,'Rev Exp'!AB93:AB97,'Rev Exp'!AB101:AB112,'Rev Exp'!AB116:AB125)/1000</f>
        <v>0</v>
      </c>
      <c r="Z18" s="516">
        <f>SUM('Rev Exp'!AC87:AC89,'Rev Exp'!AC93:AC97,'Rev Exp'!AC101:AC112,'Rev Exp'!AC116:AC125)/1000</f>
        <v>0</v>
      </c>
      <c r="AA18" s="516">
        <f>SUM('Rev Exp'!AD87:AD89,'Rev Exp'!AD93:AD97,'Rev Exp'!AD101:AD112,'Rev Exp'!AD116:AD125)/1000</f>
        <v>0</v>
      </c>
      <c r="AB18" s="516">
        <f>SUM('Rev Exp'!AE87:AE89,'Rev Exp'!AE93:AE97,'Rev Exp'!AE101:AE112,'Rev Exp'!AE116:AE125)/1000</f>
        <v>0</v>
      </c>
      <c r="AC18" s="516">
        <f>SUM('Rev Exp'!AF87:AF89,'Rev Exp'!AF93:AF97,'Rev Exp'!AF101:AF112,'Rev Exp'!AF116:AF125)/1000</f>
        <v>0</v>
      </c>
      <c r="AD18" s="516">
        <f>SUM('Rev Exp'!AG87:AG89,'Rev Exp'!AG93:AG97,'Rev Exp'!AG101:AG112,'Rev Exp'!AG116:AG125)/1000</f>
        <v>0</v>
      </c>
      <c r="AE18" s="516">
        <f>SUM('Rev Exp'!AH87:AH89,'Rev Exp'!AH93:AH97,'Rev Exp'!AH101:AH112,'Rev Exp'!AH116:AH125)/1000</f>
        <v>0</v>
      </c>
      <c r="AF18" s="516">
        <f>SUM('Rev Exp'!AI87:AI89,'Rev Exp'!AI93:AI97,'Rev Exp'!AI101:AI112,'Rev Exp'!AI116:AI125)/1000</f>
        <v>0</v>
      </c>
      <c r="AG18" s="516">
        <f>SUM('Rev Exp'!AJ87:AJ89,'Rev Exp'!AJ93:AJ97,'Rev Exp'!AJ101:AJ112,'Rev Exp'!AJ116:AJ125)/1000</f>
        <v>0</v>
      </c>
      <c r="AH18" s="516">
        <f>SUM('Rev Exp'!AK87:AK89,'Rev Exp'!AK93:AK97,'Rev Exp'!AK101:AK112,'Rev Exp'!AK116:AK125)/1000</f>
        <v>0</v>
      </c>
      <c r="AI18" s="516">
        <f>SUM('Rev Exp'!AL87:AL89,'Rev Exp'!AL93:AL97,'Rev Exp'!AL101:AL112,'Rev Exp'!AL116:AL125)/1000</f>
        <v>0</v>
      </c>
      <c r="AJ18" s="516">
        <f>SUM('Rev Exp'!AM87:AM89,'Rev Exp'!AM93:AM97,'Rev Exp'!AM101:AM112,'Rev Exp'!AM116:AM125)/1000</f>
        <v>0</v>
      </c>
      <c r="AK18" s="516">
        <f>SUM('Rev Exp'!AN87:AN89,'Rev Exp'!AN93:AN97,'Rev Exp'!AN101:AN112,'Rev Exp'!AN116:AN125)/1000</f>
        <v>0</v>
      </c>
      <c r="AL18" s="516">
        <f>SUM('Rev Exp'!AO87:AO89,'Rev Exp'!AO93:AO97,'Rev Exp'!AO101:AO112,'Rev Exp'!AO116:AO125)/1000</f>
        <v>0</v>
      </c>
      <c r="AM18" s="526">
        <f>SUM(H18:AL18)</f>
        <v>780.52526236899996</v>
      </c>
    </row>
    <row r="19" spans="1:39">
      <c r="A19" s="519">
        <f t="shared" si="8"/>
        <v>7</v>
      </c>
      <c r="D19" s="516" t="s">
        <v>338</v>
      </c>
      <c r="H19" s="528">
        <f>SUM('Rev Exp'!K136:K137)/1000</f>
        <v>0</v>
      </c>
      <c r="I19" s="528">
        <f>SUM('Rev Exp'!L136:L137)/1000</f>
        <v>0</v>
      </c>
      <c r="J19" s="528">
        <f>SUM('Rev Exp'!M136:M137)/1000</f>
        <v>0</v>
      </c>
      <c r="K19" s="528">
        <f>SUM('Rev Exp'!N136:N137)/1000</f>
        <v>0</v>
      </c>
      <c r="L19" s="528">
        <f>SUM('Rev Exp'!O136:O137)/1000</f>
        <v>0</v>
      </c>
      <c r="M19" s="528">
        <f>SUM('Rev Exp'!P136:P137)/1000</f>
        <v>0</v>
      </c>
      <c r="N19" s="528">
        <f>SUM('Rev Exp'!Q136:Q137)/1000</f>
        <v>0</v>
      </c>
      <c r="O19" s="528">
        <f>SUM('Rev Exp'!R136:R137)/1000</f>
        <v>0</v>
      </c>
      <c r="P19" s="528">
        <f>SUM('Rev Exp'!S136:S137)/1000</f>
        <v>0</v>
      </c>
      <c r="Q19" s="528">
        <f>SUM('Rev Exp'!T136:T137)/1000</f>
        <v>0</v>
      </c>
      <c r="R19" s="528">
        <f>SUM('Rev Exp'!U136:U137)/1000</f>
        <v>0</v>
      </c>
      <c r="S19" s="528">
        <f>SUM('Rev Exp'!V136:V137)/1000</f>
        <v>0</v>
      </c>
      <c r="T19" s="528">
        <f>SUM('Rev Exp'!W136:W137)/1000</f>
        <v>0</v>
      </c>
      <c r="U19" s="528">
        <f>SUM('Rev Exp'!X136:X137)/1000</f>
        <v>0</v>
      </c>
      <c r="V19" s="528">
        <f>SUM('Rev Exp'!Y136:Y137)/1000</f>
        <v>0</v>
      </c>
      <c r="W19" s="528">
        <f>SUM('Rev Exp'!Z136:Z137)/1000</f>
        <v>0</v>
      </c>
      <c r="X19" s="528">
        <f>SUM('Rev Exp'!AA136:AA137)/1000</f>
        <v>0</v>
      </c>
      <c r="Y19" s="528">
        <f>SUM('Rev Exp'!AB136:AB137)/1000</f>
        <v>0</v>
      </c>
      <c r="Z19" s="528">
        <f>SUM('Rev Exp'!AC136:AC137)/1000</f>
        <v>0</v>
      </c>
      <c r="AA19" s="528">
        <f>SUM('Rev Exp'!AD136:AD137)/1000</f>
        <v>0</v>
      </c>
      <c r="AB19" s="528">
        <f>SUM('Rev Exp'!AE136:AE137)/1000</f>
        <v>31.506505799999999</v>
      </c>
      <c r="AC19" s="528">
        <f>SUM('Rev Exp'!AF136:AF137)/1000</f>
        <v>0</v>
      </c>
      <c r="AD19" s="528">
        <f>SUM('Rev Exp'!AG136:AG137)/1000</f>
        <v>0</v>
      </c>
      <c r="AE19" s="528">
        <f>SUM('Rev Exp'!AH136:AH137)/1000</f>
        <v>0</v>
      </c>
      <c r="AF19" s="528">
        <f>SUM('Rev Exp'!AI136:AI137)/1000</f>
        <v>675.89486987700457</v>
      </c>
      <c r="AG19" s="528">
        <f>SUM('Rev Exp'!AJ136:AJ137)/1000</f>
        <v>0</v>
      </c>
      <c r="AH19" s="528">
        <f>SUM('Rev Exp'!AK136:AK137)/1000</f>
        <v>0</v>
      </c>
      <c r="AI19" s="528">
        <f>SUM('Rev Exp'!AL136:AL137)/1000</f>
        <v>0</v>
      </c>
      <c r="AJ19" s="528">
        <f>SUM('Rev Exp'!AM136:AM137)/1000</f>
        <v>0</v>
      </c>
      <c r="AK19" s="528">
        <f>SUM('Rev Exp'!AN136:AN137)/1000</f>
        <v>-13.936</v>
      </c>
      <c r="AL19" s="528">
        <f>SUM('Rev Exp'!AO136:AO137)/1000</f>
        <v>0</v>
      </c>
      <c r="AM19" s="526">
        <f>SUM(H19:AL19)</f>
        <v>693.46537567700454</v>
      </c>
    </row>
    <row r="20" spans="1:39">
      <c r="A20" s="519">
        <f t="shared" si="8"/>
        <v>8</v>
      </c>
      <c r="D20" s="516" t="s">
        <v>8</v>
      </c>
      <c r="G20" s="517"/>
      <c r="H20" s="528">
        <f>SUM('Rev Exp'!K145:K147)/1000</f>
        <v>0</v>
      </c>
      <c r="I20" s="528">
        <f>SUM('Rev Exp'!L145:L147)/1000</f>
        <v>0</v>
      </c>
      <c r="J20" s="528">
        <f>SUM('Rev Exp'!M145:M147)/1000</f>
        <v>0</v>
      </c>
      <c r="K20" s="528">
        <f>SUM('Rev Exp'!N145:N147)/1000</f>
        <v>0</v>
      </c>
      <c r="L20" s="528">
        <f>SUM('Rev Exp'!O145:O147)/1000</f>
        <v>0</v>
      </c>
      <c r="M20" s="528">
        <f>SUM('Rev Exp'!P145:P147)/1000</f>
        <v>0</v>
      </c>
      <c r="N20" s="528">
        <f>SUM('Rev Exp'!Q145:Q147)/1000</f>
        <v>0</v>
      </c>
      <c r="O20" s="528">
        <f>SUM('Rev Exp'!R145:R147)/1000</f>
        <v>0</v>
      </c>
      <c r="P20" s="528">
        <f>SUM('Rev Exp'!S145:S147)/1000</f>
        <v>0</v>
      </c>
      <c r="Q20" s="528">
        <f>SUM('Rev Exp'!T145:T147)/1000</f>
        <v>0</v>
      </c>
      <c r="R20" s="528">
        <f>SUM('Rev Exp'!U145:U147)/1000</f>
        <v>0</v>
      </c>
      <c r="S20" s="528">
        <f>SUM('Rev Exp'!V145:V147)/1000</f>
        <v>0</v>
      </c>
      <c r="T20" s="528">
        <f>SUM('Rev Exp'!W145:W147)/1000</f>
        <v>0</v>
      </c>
      <c r="U20" s="528">
        <f>SUM('Rev Exp'!X145:X147)/1000</f>
        <v>-309.74480164418111</v>
      </c>
      <c r="V20" s="528">
        <f>SUM('Rev Exp'!Y145:Y147)/1000</f>
        <v>0</v>
      </c>
      <c r="W20" s="528">
        <f>SUM('Rev Exp'!Z145:Z147)/1000</f>
        <v>0</v>
      </c>
      <c r="X20" s="528">
        <f>SUM('Rev Exp'!AA145:AA147)/1000</f>
        <v>0</v>
      </c>
      <c r="Y20" s="528">
        <f>SUM('Rev Exp'!AB145:AB147)/1000</f>
        <v>0</v>
      </c>
      <c r="Z20" s="528">
        <f>SUM('Rev Exp'!AC145:AC147)/1000</f>
        <v>0</v>
      </c>
      <c r="AA20" s="528">
        <f>SUM('Rev Exp'!AD145:AD147)/1000</f>
        <v>0</v>
      </c>
      <c r="AB20" s="528">
        <f>SUM('Rev Exp'!AE145:AE147)/1000</f>
        <v>0</v>
      </c>
      <c r="AC20" s="528">
        <f>SUM('Rev Exp'!AF145:AF147)/1000</f>
        <v>0</v>
      </c>
      <c r="AD20" s="528">
        <f>SUM('Rev Exp'!AG145:AG147)/1000</f>
        <v>0</v>
      </c>
      <c r="AE20" s="528">
        <f>SUM('Rev Exp'!AH145:AH147)/1000</f>
        <v>0</v>
      </c>
      <c r="AF20" s="528">
        <f>SUM('Rev Exp'!AI145:AI147)/1000</f>
        <v>0</v>
      </c>
      <c r="AG20" s="528">
        <f>SUM('Rev Exp'!AJ145:AJ147)/1000</f>
        <v>0</v>
      </c>
      <c r="AH20" s="528">
        <f>SUM('Rev Exp'!AK145:AK147)/1000</f>
        <v>0</v>
      </c>
      <c r="AI20" s="528">
        <f>SUM('Rev Exp'!AL145:AL147)/1000</f>
        <v>0</v>
      </c>
      <c r="AJ20" s="528">
        <f>SUM('Rev Exp'!AM145:AM147)/1000</f>
        <v>0</v>
      </c>
      <c r="AK20" s="528">
        <f>SUM('Rev Exp'!AN145:AN147)/1000</f>
        <v>0</v>
      </c>
      <c r="AL20" s="528">
        <f>SUM('Rev Exp'!AO145:AO147)/1000</f>
        <v>0</v>
      </c>
      <c r="AM20" s="526">
        <f>SUM(H20:AL20)</f>
        <v>-309.74480164418111</v>
      </c>
    </row>
    <row r="21" spans="1:39">
      <c r="A21" s="519">
        <f t="shared" si="8"/>
        <v>9</v>
      </c>
      <c r="E21" s="516" t="s">
        <v>154</v>
      </c>
      <c r="H21" s="755">
        <f t="shared" ref="H21:AM21" si="9">SUM(H17:H20)</f>
        <v>0</v>
      </c>
      <c r="I21" s="755">
        <f t="shared" si="9"/>
        <v>-41.166879999999999</v>
      </c>
      <c r="J21" s="755">
        <f t="shared" si="9"/>
        <v>-17.792999999999999</v>
      </c>
      <c r="K21" s="755">
        <f t="shared" ref="K21" si="10">SUM(K17:K20)</f>
        <v>-74.498000000000005</v>
      </c>
      <c r="L21" s="755">
        <f t="shared" ref="L21" si="11">SUM(L17:L20)</f>
        <v>0</v>
      </c>
      <c r="M21" s="755">
        <f t="shared" si="9"/>
        <v>0</v>
      </c>
      <c r="N21" s="755">
        <f t="shared" si="9"/>
        <v>1121.328</v>
      </c>
      <c r="O21" s="755">
        <f t="shared" ref="O21:P21" si="12">SUM(O17:O20)</f>
        <v>-340.80273763100001</v>
      </c>
      <c r="P21" s="755">
        <f t="shared" si="12"/>
        <v>-155.494</v>
      </c>
      <c r="Q21" s="755">
        <f t="shared" ref="Q21" si="13">SUM(Q17:Q20)</f>
        <v>55.977486666666664</v>
      </c>
      <c r="R21" s="755">
        <f t="shared" si="9"/>
        <v>-545.77499999999998</v>
      </c>
      <c r="S21" s="755">
        <f t="shared" si="9"/>
        <v>0</v>
      </c>
      <c r="T21" s="755">
        <f t="shared" si="9"/>
        <v>-100.79716000000001</v>
      </c>
      <c r="U21" s="755">
        <f t="shared" si="9"/>
        <v>-309.74480164418111</v>
      </c>
      <c r="V21" s="755">
        <f t="shared" si="9"/>
        <v>-160.50299999999999</v>
      </c>
      <c r="W21" s="755">
        <f t="shared" si="9"/>
        <v>-150.97752</v>
      </c>
      <c r="X21" s="755">
        <f t="shared" ref="X21" si="14">SUM(X17:X20)</f>
        <v>101.1</v>
      </c>
      <c r="Y21" s="755">
        <f t="shared" si="9"/>
        <v>0</v>
      </c>
      <c r="Z21" s="755">
        <f t="shared" si="9"/>
        <v>18.483450000000001</v>
      </c>
      <c r="AA21" s="755">
        <f t="shared" si="9"/>
        <v>787.53200000000004</v>
      </c>
      <c r="AB21" s="755">
        <f t="shared" si="9"/>
        <v>31.506505799999999</v>
      </c>
      <c r="AC21" s="755">
        <f t="shared" si="9"/>
        <v>-7.2359999999999998</v>
      </c>
      <c r="AD21" s="755">
        <f t="shared" si="9"/>
        <v>-47.073999999999998</v>
      </c>
      <c r="AE21" s="755">
        <f t="shared" si="9"/>
        <v>813.822</v>
      </c>
      <c r="AF21" s="755">
        <f t="shared" si="9"/>
        <v>675.89486987700457</v>
      </c>
      <c r="AG21" s="755">
        <f t="shared" si="9"/>
        <v>-59623.666509999959</v>
      </c>
      <c r="AH21" s="755">
        <f t="shared" si="9"/>
        <v>250</v>
      </c>
      <c r="AI21" s="755">
        <f t="shared" si="9"/>
        <v>-371.07299999999998</v>
      </c>
      <c r="AJ21" s="755">
        <f t="shared" ref="AJ21" si="15">SUM(AJ17:AJ20)</f>
        <v>-83.119619999999998</v>
      </c>
      <c r="AK21" s="755">
        <f t="shared" si="9"/>
        <v>-392.19399999999996</v>
      </c>
      <c r="AL21" s="755">
        <f t="shared" si="9"/>
        <v>-266.2549065915797</v>
      </c>
      <c r="AM21" s="755">
        <f t="shared" si="9"/>
        <v>-58832.525823523036</v>
      </c>
    </row>
    <row r="22" spans="1:39">
      <c r="A22" s="519"/>
      <c r="H22" s="528"/>
      <c r="I22" s="528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528"/>
      <c r="AA22" s="528"/>
      <c r="AB22" s="528"/>
      <c r="AC22" s="528"/>
      <c r="AD22" s="528"/>
      <c r="AE22" s="528"/>
      <c r="AF22" s="528"/>
      <c r="AG22" s="528"/>
      <c r="AH22" s="528"/>
      <c r="AI22" s="528"/>
      <c r="AJ22" s="528"/>
      <c r="AK22" s="528"/>
      <c r="AL22" s="528"/>
      <c r="AM22" s="528"/>
    </row>
    <row r="23" spans="1:39" ht="10.8" thickBot="1">
      <c r="A23" s="519">
        <f>+A21+1</f>
        <v>10</v>
      </c>
      <c r="C23" s="516" t="s">
        <v>329</v>
      </c>
      <c r="H23" s="530">
        <f t="shared" ref="H23:AM23" si="16">+H14-H21</f>
        <v>3017.0360799999999</v>
      </c>
      <c r="I23" s="530">
        <f t="shared" si="16"/>
        <v>41.166879999999999</v>
      </c>
      <c r="J23" s="530">
        <f t="shared" si="16"/>
        <v>17.792999999999999</v>
      </c>
      <c r="K23" s="530">
        <f t="shared" ref="K23" si="17">+K14-K21</f>
        <v>74.498000000000005</v>
      </c>
      <c r="L23" s="530">
        <f t="shared" ref="L23" si="18">+L14-L21</f>
        <v>477.63</v>
      </c>
      <c r="M23" s="530">
        <f t="shared" si="16"/>
        <v>-151.239</v>
      </c>
      <c r="N23" s="530">
        <f t="shared" si="16"/>
        <v>-1121.328</v>
      </c>
      <c r="O23" s="530">
        <f t="shared" ref="O23:P23" si="19">+O14-O21</f>
        <v>340.80273763100001</v>
      </c>
      <c r="P23" s="530">
        <f t="shared" si="19"/>
        <v>155.494</v>
      </c>
      <c r="Q23" s="530">
        <f t="shared" ref="Q23" si="20">+Q14-Q21</f>
        <v>-55.977486666666664</v>
      </c>
      <c r="R23" s="530">
        <f t="shared" si="16"/>
        <v>545.77499999999998</v>
      </c>
      <c r="S23" s="530">
        <f t="shared" si="16"/>
        <v>-571.26</v>
      </c>
      <c r="T23" s="530">
        <f t="shared" si="16"/>
        <v>-151.43477000000001</v>
      </c>
      <c r="U23" s="530">
        <f t="shared" si="16"/>
        <v>309.74480164418111</v>
      </c>
      <c r="V23" s="530">
        <f t="shared" si="16"/>
        <v>160.50299999999999</v>
      </c>
      <c r="W23" s="530">
        <f t="shared" si="16"/>
        <v>150.97752</v>
      </c>
      <c r="X23" s="530">
        <f t="shared" ref="X23" si="21">+X14-X21</f>
        <v>-101.1</v>
      </c>
      <c r="Y23" s="530">
        <f t="shared" si="16"/>
        <v>299.47000000000003</v>
      </c>
      <c r="Z23" s="530">
        <f t="shared" si="16"/>
        <v>-18.483450000000001</v>
      </c>
      <c r="AA23" s="530">
        <f t="shared" si="16"/>
        <v>-787.53200000000004</v>
      </c>
      <c r="AB23" s="530">
        <f t="shared" si="16"/>
        <v>-31.506505799999999</v>
      </c>
      <c r="AC23" s="530">
        <f t="shared" si="16"/>
        <v>7.2359999999999998</v>
      </c>
      <c r="AD23" s="530">
        <f t="shared" si="16"/>
        <v>47.073999999999998</v>
      </c>
      <c r="AE23" s="530">
        <f t="shared" si="16"/>
        <v>-813.822</v>
      </c>
      <c r="AF23" s="530">
        <f t="shared" si="16"/>
        <v>-675.89486987700457</v>
      </c>
      <c r="AG23" s="530">
        <f t="shared" si="16"/>
        <v>0</v>
      </c>
      <c r="AH23" s="530">
        <f t="shared" si="16"/>
        <v>-250</v>
      </c>
      <c r="AI23" s="530">
        <f t="shared" si="16"/>
        <v>0</v>
      </c>
      <c r="AJ23" s="530">
        <f t="shared" ref="AJ23" si="22">+AJ14-AJ21</f>
        <v>83.119619999999998</v>
      </c>
      <c r="AK23" s="530">
        <f t="shared" si="16"/>
        <v>392.19399999999996</v>
      </c>
      <c r="AL23" s="530">
        <f t="shared" si="16"/>
        <v>266.2549065915797</v>
      </c>
      <c r="AM23" s="530">
        <f t="shared" si="16"/>
        <v>1657.1914635230787</v>
      </c>
    </row>
    <row r="24" spans="1:39" ht="10.8" thickTop="1">
      <c r="A24" s="519"/>
      <c r="AM24" s="528"/>
    </row>
    <row r="25" spans="1:39">
      <c r="A25" s="519"/>
      <c r="B25" s="535"/>
      <c r="C25" s="535"/>
      <c r="AM25" s="526"/>
    </row>
    <row r="26" spans="1:39">
      <c r="A26" s="519"/>
    </row>
    <row r="27" spans="1:39">
      <c r="A27" s="519"/>
      <c r="E27" s="756"/>
      <c r="G27" s="757"/>
      <c r="H27" s="757"/>
      <c r="I27" s="757"/>
      <c r="J27" s="757"/>
      <c r="K27" s="757"/>
      <c r="L27" s="757"/>
      <c r="M27" s="757"/>
      <c r="N27" s="757"/>
      <c r="O27" s="757"/>
      <c r="P27" s="757"/>
      <c r="Q27" s="757"/>
      <c r="R27" s="757"/>
      <c r="S27" s="757"/>
      <c r="T27" s="757"/>
      <c r="U27" s="757"/>
      <c r="V27" s="757"/>
      <c r="W27" s="757"/>
      <c r="X27" s="757"/>
      <c r="Y27" s="757"/>
      <c r="Z27" s="757"/>
      <c r="AA27" s="757"/>
      <c r="AB27" s="757"/>
      <c r="AC27" s="757"/>
      <c r="AD27" s="757"/>
      <c r="AE27" s="757"/>
      <c r="AF27" s="757"/>
      <c r="AG27" s="757"/>
      <c r="AH27" s="757"/>
      <c r="AI27" s="757"/>
      <c r="AJ27" s="757"/>
      <c r="AK27" s="757"/>
      <c r="AL27" s="757"/>
    </row>
    <row r="28" spans="1:39">
      <c r="A28" s="519" t="s">
        <v>181</v>
      </c>
      <c r="B28" s="638" t="s">
        <v>826</v>
      </c>
      <c r="C28" s="638"/>
      <c r="D28" s="518"/>
      <c r="E28" s="518"/>
      <c r="G28" s="638"/>
      <c r="I28" s="545" t="s">
        <v>990</v>
      </c>
      <c r="J28" s="638"/>
      <c r="K28" s="638"/>
      <c r="L28" s="638"/>
      <c r="M28" s="638"/>
      <c r="N28" s="638"/>
      <c r="O28" s="638"/>
      <c r="P28" s="638"/>
      <c r="Q28" s="638"/>
      <c r="R28" s="638"/>
      <c r="S28" s="638"/>
      <c r="T28" s="545" t="s">
        <v>990</v>
      </c>
      <c r="U28" s="638"/>
      <c r="V28" s="638"/>
      <c r="W28" s="638"/>
      <c r="X28" s="638"/>
      <c r="Y28" s="638"/>
      <c r="Z28" s="638"/>
      <c r="AA28" s="638"/>
      <c r="AB28" s="638"/>
      <c r="AC28" s="638"/>
      <c r="AD28" s="638"/>
      <c r="AE28" s="545" t="s">
        <v>990</v>
      </c>
      <c r="AF28" s="638"/>
      <c r="AG28" s="638"/>
      <c r="AH28" s="638"/>
      <c r="AI28" s="638"/>
      <c r="AJ28" s="638"/>
      <c r="AK28" s="638"/>
      <c r="AL28" s="638"/>
    </row>
    <row r="29" spans="1:39">
      <c r="A29" s="519" t="s">
        <v>181</v>
      </c>
      <c r="B29" s="518" t="s">
        <v>22</v>
      </c>
      <c r="C29" s="518"/>
      <c r="D29" s="518"/>
      <c r="E29" s="518"/>
      <c r="G29" s="518"/>
      <c r="I29" s="519" t="s">
        <v>1164</v>
      </c>
      <c r="J29" s="518"/>
      <c r="K29" s="518"/>
      <c r="L29" s="518"/>
      <c r="M29" s="518"/>
      <c r="N29" s="518"/>
      <c r="O29" s="518"/>
      <c r="P29" s="518"/>
      <c r="Q29" s="518"/>
      <c r="R29" s="518"/>
      <c r="S29" s="518"/>
      <c r="T29" s="519" t="s">
        <v>1164</v>
      </c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9" t="s">
        <v>1164</v>
      </c>
      <c r="AF29" s="518"/>
      <c r="AG29" s="518"/>
      <c r="AH29" s="518"/>
      <c r="AI29" s="518"/>
      <c r="AJ29" s="518"/>
      <c r="AK29" s="518"/>
      <c r="AL29" s="518"/>
    </row>
    <row r="30" spans="1:39">
      <c r="A30" s="519"/>
      <c r="B30" s="518"/>
      <c r="C30" s="518"/>
      <c r="D30" s="518"/>
      <c r="E30" s="518"/>
    </row>
    <row r="31" spans="1:39">
      <c r="A31" s="519"/>
      <c r="B31" s="518"/>
      <c r="C31" s="518"/>
      <c r="D31" s="518"/>
      <c r="E31" s="518"/>
      <c r="H31" s="516">
        <f>'Rev Exp'!K6/1000</f>
        <v>3017.0360799999999</v>
      </c>
      <c r="I31" s="516">
        <f>'Rev Exp'!L6/1000</f>
        <v>41.166879999999999</v>
      </c>
      <c r="J31" s="516">
        <f>'Rev Exp'!M6/1000</f>
        <v>17.792999999999999</v>
      </c>
      <c r="K31" s="516">
        <f>'Rev Exp'!N6/1000</f>
        <v>74.498000000000005</v>
      </c>
      <c r="L31" s="516">
        <f>'Rev Exp'!O6/1000</f>
        <v>477.63</v>
      </c>
      <c r="M31" s="516">
        <f>'Rev Exp'!P6/1000</f>
        <v>-151.239</v>
      </c>
      <c r="N31" s="516">
        <f>'Rev Exp'!Q6/1000</f>
        <v>-1121.328</v>
      </c>
      <c r="O31" s="516">
        <f>'Rev Exp'!R6/1000</f>
        <v>340.80273763100001</v>
      </c>
      <c r="P31" s="516">
        <f>'Rev Exp'!S6/1000</f>
        <v>155.494</v>
      </c>
      <c r="Q31" s="516">
        <f>'Rev Exp'!T6/1000</f>
        <v>-55.977486666666664</v>
      </c>
      <c r="R31" s="516">
        <f>'Rev Exp'!U6/1000</f>
        <v>545.77499999999998</v>
      </c>
      <c r="S31" s="516">
        <f>'Rev Exp'!V6/1000</f>
        <v>-571.26</v>
      </c>
      <c r="T31" s="516">
        <f>'Rev Exp'!W6/1000</f>
        <v>-151.43476999999999</v>
      </c>
      <c r="U31" s="516">
        <f>'Rev Exp'!X6/1000</f>
        <v>309.74480164418111</v>
      </c>
      <c r="V31" s="516">
        <f>'Rev Exp'!Y6/1000</f>
        <v>160.50299999999999</v>
      </c>
      <c r="W31" s="516">
        <f>'Rev Exp'!Z6/1000</f>
        <v>150.97752</v>
      </c>
      <c r="X31" s="516">
        <f>'Rev Exp'!AA6/1000</f>
        <v>-101.1</v>
      </c>
      <c r="Y31" s="516">
        <f>'Rev Exp'!AB6/1000</f>
        <v>299.47000000000003</v>
      </c>
      <c r="Z31" s="516">
        <f>'Rev Exp'!AC6/1000</f>
        <v>-18.483450000000001</v>
      </c>
      <c r="AA31" s="516">
        <f>'Rev Exp'!AD6/1000</f>
        <v>-787.53200000000004</v>
      </c>
      <c r="AB31" s="516">
        <f>'Rev Exp'!AE6/1000</f>
        <v>-31.506505799999999</v>
      </c>
      <c r="AC31" s="516">
        <f>'Rev Exp'!AF6/1000</f>
        <v>7.2359999999999998</v>
      </c>
      <c r="AD31" s="516">
        <f>'Rev Exp'!AG6/1000</f>
        <v>47.073999999999998</v>
      </c>
      <c r="AE31" s="516">
        <f>'Rev Exp'!AH6/1000</f>
        <v>-813.822</v>
      </c>
      <c r="AF31" s="516">
        <f>'Rev Exp'!AI6/1000</f>
        <v>-675.89486987700457</v>
      </c>
      <c r="AG31" s="516">
        <f>'Rev Exp'!AJ6/1000</f>
        <v>0</v>
      </c>
      <c r="AH31" s="516">
        <f>'Rev Exp'!AK6/1000</f>
        <v>-250</v>
      </c>
      <c r="AI31" s="516">
        <f>'Rev Exp'!AL6/1000</f>
        <v>0</v>
      </c>
      <c r="AJ31" s="516">
        <f>'Rev Exp'!AM6/1000</f>
        <v>83.119619999999998</v>
      </c>
      <c r="AK31" s="516">
        <f>'Rev Exp'!AN6/1000</f>
        <v>392.19400000000002</v>
      </c>
      <c r="AL31" s="516">
        <f>'Rev Exp'!AO6/1000</f>
        <v>266.2549065915797</v>
      </c>
      <c r="AM31" s="516">
        <f>'Rev Exp'!N1/1000</f>
        <v>1657.1914635230899</v>
      </c>
    </row>
    <row r="32" spans="1:39">
      <c r="B32" s="518"/>
      <c r="C32" s="518"/>
      <c r="D32" s="518"/>
      <c r="E32" s="518"/>
      <c r="H32" s="516">
        <f>H31-H23</f>
        <v>0</v>
      </c>
      <c r="I32" s="516">
        <f t="shared" ref="I32:AL32" si="23">I31-I23</f>
        <v>0</v>
      </c>
      <c r="J32" s="516">
        <f t="shared" si="23"/>
        <v>0</v>
      </c>
      <c r="K32" s="516">
        <f t="shared" ref="K32" si="24">K31-K23</f>
        <v>0</v>
      </c>
      <c r="L32" s="516">
        <f t="shared" ref="L32" si="25">L31-L23</f>
        <v>0</v>
      </c>
      <c r="M32" s="516">
        <f t="shared" si="23"/>
        <v>0</v>
      </c>
      <c r="N32" s="516">
        <f t="shared" si="23"/>
        <v>0</v>
      </c>
      <c r="O32" s="516">
        <f t="shared" ref="O32:P32" si="26">O31-O23</f>
        <v>0</v>
      </c>
      <c r="P32" s="516">
        <f t="shared" si="26"/>
        <v>0</v>
      </c>
      <c r="Q32" s="516">
        <f t="shared" ref="Q32" si="27">Q31-Q23</f>
        <v>0</v>
      </c>
      <c r="R32" s="516">
        <f t="shared" si="23"/>
        <v>0</v>
      </c>
      <c r="S32" s="516">
        <f t="shared" si="23"/>
        <v>0</v>
      </c>
      <c r="T32" s="516">
        <f t="shared" si="23"/>
        <v>0</v>
      </c>
      <c r="U32" s="516">
        <f t="shared" si="23"/>
        <v>0</v>
      </c>
      <c r="V32" s="516">
        <f t="shared" si="23"/>
        <v>0</v>
      </c>
      <c r="W32" s="516">
        <f t="shared" si="23"/>
        <v>0</v>
      </c>
      <c r="X32" s="516">
        <f t="shared" ref="X32" si="28">X31-X23</f>
        <v>0</v>
      </c>
      <c r="Y32" s="516">
        <f t="shared" si="23"/>
        <v>0</v>
      </c>
      <c r="Z32" s="516">
        <f t="shared" si="23"/>
        <v>0</v>
      </c>
      <c r="AA32" s="516">
        <f t="shared" si="23"/>
        <v>0</v>
      </c>
      <c r="AB32" s="516">
        <f t="shared" si="23"/>
        <v>0</v>
      </c>
      <c r="AC32" s="516">
        <f t="shared" si="23"/>
        <v>0</v>
      </c>
      <c r="AD32" s="516">
        <f t="shared" si="23"/>
        <v>0</v>
      </c>
      <c r="AE32" s="516">
        <f t="shared" si="23"/>
        <v>0</v>
      </c>
      <c r="AF32" s="516">
        <f t="shared" si="23"/>
        <v>0</v>
      </c>
      <c r="AG32" s="516">
        <f t="shared" si="23"/>
        <v>0</v>
      </c>
      <c r="AH32" s="516">
        <f t="shared" si="23"/>
        <v>0</v>
      </c>
      <c r="AI32" s="516">
        <f t="shared" si="23"/>
        <v>0</v>
      </c>
      <c r="AJ32" s="516">
        <f t="shared" ref="AJ32" si="29">AJ31-AJ23</f>
        <v>0</v>
      </c>
      <c r="AK32" s="516">
        <f t="shared" si="23"/>
        <v>0</v>
      </c>
      <c r="AL32" s="516">
        <f t="shared" si="23"/>
        <v>0</v>
      </c>
      <c r="AM32" s="516">
        <f t="shared" ref="AM32" si="30">AM31-AM23</f>
        <v>1.1141310096718371E-11</v>
      </c>
    </row>
    <row r="33" spans="1:8">
      <c r="A33" s="547" t="s">
        <v>1165</v>
      </c>
      <c r="B33" s="518"/>
      <c r="C33" s="518"/>
      <c r="D33" s="518"/>
      <c r="E33" s="518"/>
    </row>
    <row r="34" spans="1:8">
      <c r="A34" s="547"/>
      <c r="B34" s="1194"/>
      <c r="C34" s="1194"/>
      <c r="D34" s="1194"/>
      <c r="E34" s="1194"/>
      <c r="F34" s="1194"/>
      <c r="G34" s="1194"/>
      <c r="H34" s="758"/>
    </row>
    <row r="35" spans="1:8">
      <c r="A35" s="547" t="s">
        <v>835</v>
      </c>
    </row>
    <row r="36" spans="1:8">
      <c r="A36" s="548" t="s">
        <v>1166</v>
      </c>
    </row>
  </sheetData>
  <mergeCells count="3">
    <mergeCell ref="B1:F1"/>
    <mergeCell ref="B2:F2"/>
    <mergeCell ref="B34:G34"/>
  </mergeCells>
  <printOptions horizontalCentered="1"/>
  <pageMargins left="0.45" right="0.45" top="0.75" bottom="0.75" header="0.3" footer="0.3"/>
  <pageSetup scale="80" fitToHeight="0" orientation="landscape" r:id="rId1"/>
  <headerFooter alignWithMargins="0">
    <oddHeader xml:space="preserve">&amp;L
</oddHeader>
  </headerFooter>
  <colBreaks count="3" manualBreakCount="3">
    <brk id="18" max="28" man="1"/>
    <brk id="29" max="28" man="1"/>
    <brk id="39" max="36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B959-38FF-48C3-941D-21523E854E38}">
  <sheetPr>
    <tabColor rgb="FFFFFFCC"/>
    <pageSetUpPr fitToPage="1"/>
  </sheetPr>
  <dimension ref="A1:I34"/>
  <sheetViews>
    <sheetView showGridLines="0" zoomScaleNormal="100" zoomScaleSheetLayoutView="100" workbookViewId="0"/>
  </sheetViews>
  <sheetFormatPr defaultColWidth="7" defaultRowHeight="10.199999999999999"/>
  <cols>
    <col min="1" max="1" width="3.88671875" style="760" customWidth="1"/>
    <col min="2" max="2" width="2.88671875" style="760" customWidth="1"/>
    <col min="3" max="3" width="35.5546875" style="760" customWidth="1"/>
    <col min="4" max="4" width="2.88671875" style="760" customWidth="1"/>
    <col min="5" max="5" width="12.5546875" style="760" customWidth="1"/>
    <col min="6" max="6" width="2.88671875" style="760" customWidth="1"/>
    <col min="7" max="7" width="3.88671875" style="760" customWidth="1"/>
    <col min="8" max="8" width="4.88671875" style="760" customWidth="1"/>
    <col min="9" max="253" width="7" style="760"/>
    <col min="254" max="254" width="4.44140625" style="760" customWidth="1"/>
    <col min="255" max="255" width="2.88671875" style="760" customWidth="1"/>
    <col min="256" max="256" width="35.5546875" style="760" customWidth="1"/>
    <col min="257" max="257" width="4.44140625" style="760" customWidth="1"/>
    <col min="258" max="258" width="12.5546875" style="760" customWidth="1"/>
    <col min="259" max="260" width="4.44140625" style="760" customWidth="1"/>
    <col min="261" max="261" width="4.88671875" style="760" customWidth="1"/>
    <col min="262" max="262" width="6.5546875" style="760" customWidth="1"/>
    <col min="263" max="263" width="10.44140625" style="760" customWidth="1"/>
    <col min="264" max="264" width="1.44140625" style="760" customWidth="1"/>
    <col min="265" max="509" width="7" style="760"/>
    <col min="510" max="510" width="4.44140625" style="760" customWidth="1"/>
    <col min="511" max="511" width="2.88671875" style="760" customWidth="1"/>
    <col min="512" max="512" width="35.5546875" style="760" customWidth="1"/>
    <col min="513" max="513" width="4.44140625" style="760" customWidth="1"/>
    <col min="514" max="514" width="12.5546875" style="760" customWidth="1"/>
    <col min="515" max="516" width="4.44140625" style="760" customWidth="1"/>
    <col min="517" max="517" width="4.88671875" style="760" customWidth="1"/>
    <col min="518" max="518" width="6.5546875" style="760" customWidth="1"/>
    <col min="519" max="519" width="10.44140625" style="760" customWidth="1"/>
    <col min="520" max="520" width="1.44140625" style="760" customWidth="1"/>
    <col min="521" max="765" width="7" style="760"/>
    <col min="766" max="766" width="4.44140625" style="760" customWidth="1"/>
    <col min="767" max="767" width="2.88671875" style="760" customWidth="1"/>
    <col min="768" max="768" width="35.5546875" style="760" customWidth="1"/>
    <col min="769" max="769" width="4.44140625" style="760" customWidth="1"/>
    <col min="770" max="770" width="12.5546875" style="760" customWidth="1"/>
    <col min="771" max="772" width="4.44140625" style="760" customWidth="1"/>
    <col min="773" max="773" width="4.88671875" style="760" customWidth="1"/>
    <col min="774" max="774" width="6.5546875" style="760" customWidth="1"/>
    <col min="775" max="775" width="10.44140625" style="760" customWidth="1"/>
    <col min="776" max="776" width="1.44140625" style="760" customWidth="1"/>
    <col min="777" max="1021" width="7" style="760"/>
    <col min="1022" max="1022" width="4.44140625" style="760" customWidth="1"/>
    <col min="1023" max="1023" width="2.88671875" style="760" customWidth="1"/>
    <col min="1024" max="1024" width="35.5546875" style="760" customWidth="1"/>
    <col min="1025" max="1025" width="4.44140625" style="760" customWidth="1"/>
    <col min="1026" max="1026" width="12.5546875" style="760" customWidth="1"/>
    <col min="1027" max="1028" width="4.44140625" style="760" customWidth="1"/>
    <col min="1029" max="1029" width="4.88671875" style="760" customWidth="1"/>
    <col min="1030" max="1030" width="6.5546875" style="760" customWidth="1"/>
    <col min="1031" max="1031" width="10.44140625" style="760" customWidth="1"/>
    <col min="1032" max="1032" width="1.44140625" style="760" customWidth="1"/>
    <col min="1033" max="1277" width="7" style="760"/>
    <col min="1278" max="1278" width="4.44140625" style="760" customWidth="1"/>
    <col min="1279" max="1279" width="2.88671875" style="760" customWidth="1"/>
    <col min="1280" max="1280" width="35.5546875" style="760" customWidth="1"/>
    <col min="1281" max="1281" width="4.44140625" style="760" customWidth="1"/>
    <col min="1282" max="1282" width="12.5546875" style="760" customWidth="1"/>
    <col min="1283" max="1284" width="4.44140625" style="760" customWidth="1"/>
    <col min="1285" max="1285" width="4.88671875" style="760" customWidth="1"/>
    <col min="1286" max="1286" width="6.5546875" style="760" customWidth="1"/>
    <col min="1287" max="1287" width="10.44140625" style="760" customWidth="1"/>
    <col min="1288" max="1288" width="1.44140625" style="760" customWidth="1"/>
    <col min="1289" max="1533" width="7" style="760"/>
    <col min="1534" max="1534" width="4.44140625" style="760" customWidth="1"/>
    <col min="1535" max="1535" width="2.88671875" style="760" customWidth="1"/>
    <col min="1536" max="1536" width="35.5546875" style="760" customWidth="1"/>
    <col min="1537" max="1537" width="4.44140625" style="760" customWidth="1"/>
    <col min="1538" max="1538" width="12.5546875" style="760" customWidth="1"/>
    <col min="1539" max="1540" width="4.44140625" style="760" customWidth="1"/>
    <col min="1541" max="1541" width="4.88671875" style="760" customWidth="1"/>
    <col min="1542" max="1542" width="6.5546875" style="760" customWidth="1"/>
    <col min="1543" max="1543" width="10.44140625" style="760" customWidth="1"/>
    <col min="1544" max="1544" width="1.44140625" style="760" customWidth="1"/>
    <col min="1545" max="1789" width="7" style="760"/>
    <col min="1790" max="1790" width="4.44140625" style="760" customWidth="1"/>
    <col min="1791" max="1791" width="2.88671875" style="760" customWidth="1"/>
    <col min="1792" max="1792" width="35.5546875" style="760" customWidth="1"/>
    <col min="1793" max="1793" width="4.44140625" style="760" customWidth="1"/>
    <col min="1794" max="1794" width="12.5546875" style="760" customWidth="1"/>
    <col min="1795" max="1796" width="4.44140625" style="760" customWidth="1"/>
    <col min="1797" max="1797" width="4.88671875" style="760" customWidth="1"/>
    <col min="1798" max="1798" width="6.5546875" style="760" customWidth="1"/>
    <col min="1799" max="1799" width="10.44140625" style="760" customWidth="1"/>
    <col min="1800" max="1800" width="1.44140625" style="760" customWidth="1"/>
    <col min="1801" max="2045" width="7" style="760"/>
    <col min="2046" max="2046" width="4.44140625" style="760" customWidth="1"/>
    <col min="2047" max="2047" width="2.88671875" style="760" customWidth="1"/>
    <col min="2048" max="2048" width="35.5546875" style="760" customWidth="1"/>
    <col min="2049" max="2049" width="4.44140625" style="760" customWidth="1"/>
    <col min="2050" max="2050" width="12.5546875" style="760" customWidth="1"/>
    <col min="2051" max="2052" width="4.44140625" style="760" customWidth="1"/>
    <col min="2053" max="2053" width="4.88671875" style="760" customWidth="1"/>
    <col min="2054" max="2054" width="6.5546875" style="760" customWidth="1"/>
    <col min="2055" max="2055" width="10.44140625" style="760" customWidth="1"/>
    <col min="2056" max="2056" width="1.44140625" style="760" customWidth="1"/>
    <col min="2057" max="2301" width="7" style="760"/>
    <col min="2302" max="2302" width="4.44140625" style="760" customWidth="1"/>
    <col min="2303" max="2303" width="2.88671875" style="760" customWidth="1"/>
    <col min="2304" max="2304" width="35.5546875" style="760" customWidth="1"/>
    <col min="2305" max="2305" width="4.44140625" style="760" customWidth="1"/>
    <col min="2306" max="2306" width="12.5546875" style="760" customWidth="1"/>
    <col min="2307" max="2308" width="4.44140625" style="760" customWidth="1"/>
    <col min="2309" max="2309" width="4.88671875" style="760" customWidth="1"/>
    <col min="2310" max="2310" width="6.5546875" style="760" customWidth="1"/>
    <col min="2311" max="2311" width="10.44140625" style="760" customWidth="1"/>
    <col min="2312" max="2312" width="1.44140625" style="760" customWidth="1"/>
    <col min="2313" max="2557" width="7" style="760"/>
    <col min="2558" max="2558" width="4.44140625" style="760" customWidth="1"/>
    <col min="2559" max="2559" width="2.88671875" style="760" customWidth="1"/>
    <col min="2560" max="2560" width="35.5546875" style="760" customWidth="1"/>
    <col min="2561" max="2561" width="4.44140625" style="760" customWidth="1"/>
    <col min="2562" max="2562" width="12.5546875" style="760" customWidth="1"/>
    <col min="2563" max="2564" width="4.44140625" style="760" customWidth="1"/>
    <col min="2565" max="2565" width="4.88671875" style="760" customWidth="1"/>
    <col min="2566" max="2566" width="6.5546875" style="760" customWidth="1"/>
    <col min="2567" max="2567" width="10.44140625" style="760" customWidth="1"/>
    <col min="2568" max="2568" width="1.44140625" style="760" customWidth="1"/>
    <col min="2569" max="2813" width="7" style="760"/>
    <col min="2814" max="2814" width="4.44140625" style="760" customWidth="1"/>
    <col min="2815" max="2815" width="2.88671875" style="760" customWidth="1"/>
    <col min="2816" max="2816" width="35.5546875" style="760" customWidth="1"/>
    <col min="2817" max="2817" width="4.44140625" style="760" customWidth="1"/>
    <col min="2818" max="2818" width="12.5546875" style="760" customWidth="1"/>
    <col min="2819" max="2820" width="4.44140625" style="760" customWidth="1"/>
    <col min="2821" max="2821" width="4.88671875" style="760" customWidth="1"/>
    <col min="2822" max="2822" width="6.5546875" style="760" customWidth="1"/>
    <col min="2823" max="2823" width="10.44140625" style="760" customWidth="1"/>
    <col min="2824" max="2824" width="1.44140625" style="760" customWidth="1"/>
    <col min="2825" max="3069" width="7" style="760"/>
    <col min="3070" max="3070" width="4.44140625" style="760" customWidth="1"/>
    <col min="3071" max="3071" width="2.88671875" style="760" customWidth="1"/>
    <col min="3072" max="3072" width="35.5546875" style="760" customWidth="1"/>
    <col min="3073" max="3073" width="4.44140625" style="760" customWidth="1"/>
    <col min="3074" max="3074" width="12.5546875" style="760" customWidth="1"/>
    <col min="3075" max="3076" width="4.44140625" style="760" customWidth="1"/>
    <col min="3077" max="3077" width="4.88671875" style="760" customWidth="1"/>
    <col min="3078" max="3078" width="6.5546875" style="760" customWidth="1"/>
    <col min="3079" max="3079" width="10.44140625" style="760" customWidth="1"/>
    <col min="3080" max="3080" width="1.44140625" style="760" customWidth="1"/>
    <col min="3081" max="3325" width="7" style="760"/>
    <col min="3326" max="3326" width="4.44140625" style="760" customWidth="1"/>
    <col min="3327" max="3327" width="2.88671875" style="760" customWidth="1"/>
    <col min="3328" max="3328" width="35.5546875" style="760" customWidth="1"/>
    <col min="3329" max="3329" width="4.44140625" style="760" customWidth="1"/>
    <col min="3330" max="3330" width="12.5546875" style="760" customWidth="1"/>
    <col min="3331" max="3332" width="4.44140625" style="760" customWidth="1"/>
    <col min="3333" max="3333" width="4.88671875" style="760" customWidth="1"/>
    <col min="3334" max="3334" width="6.5546875" style="760" customWidth="1"/>
    <col min="3335" max="3335" width="10.44140625" style="760" customWidth="1"/>
    <col min="3336" max="3336" width="1.44140625" style="760" customWidth="1"/>
    <col min="3337" max="3581" width="7" style="760"/>
    <col min="3582" max="3582" width="4.44140625" style="760" customWidth="1"/>
    <col min="3583" max="3583" width="2.88671875" style="760" customWidth="1"/>
    <col min="3584" max="3584" width="35.5546875" style="760" customWidth="1"/>
    <col min="3585" max="3585" width="4.44140625" style="760" customWidth="1"/>
    <col min="3586" max="3586" width="12.5546875" style="760" customWidth="1"/>
    <col min="3587" max="3588" width="4.44140625" style="760" customWidth="1"/>
    <col min="3589" max="3589" width="4.88671875" style="760" customWidth="1"/>
    <col min="3590" max="3590" width="6.5546875" style="760" customWidth="1"/>
    <col min="3591" max="3591" width="10.44140625" style="760" customWidth="1"/>
    <col min="3592" max="3592" width="1.44140625" style="760" customWidth="1"/>
    <col min="3593" max="3837" width="7" style="760"/>
    <col min="3838" max="3838" width="4.44140625" style="760" customWidth="1"/>
    <col min="3839" max="3839" width="2.88671875" style="760" customWidth="1"/>
    <col min="3840" max="3840" width="35.5546875" style="760" customWidth="1"/>
    <col min="3841" max="3841" width="4.44140625" style="760" customWidth="1"/>
    <col min="3842" max="3842" width="12.5546875" style="760" customWidth="1"/>
    <col min="3843" max="3844" width="4.44140625" style="760" customWidth="1"/>
    <col min="3845" max="3845" width="4.88671875" style="760" customWidth="1"/>
    <col min="3846" max="3846" width="6.5546875" style="760" customWidth="1"/>
    <col min="3847" max="3847" width="10.44140625" style="760" customWidth="1"/>
    <col min="3848" max="3848" width="1.44140625" style="760" customWidth="1"/>
    <col min="3849" max="4093" width="7" style="760"/>
    <col min="4094" max="4094" width="4.44140625" style="760" customWidth="1"/>
    <col min="4095" max="4095" width="2.88671875" style="760" customWidth="1"/>
    <col min="4096" max="4096" width="35.5546875" style="760" customWidth="1"/>
    <col min="4097" max="4097" width="4.44140625" style="760" customWidth="1"/>
    <col min="4098" max="4098" width="12.5546875" style="760" customWidth="1"/>
    <col min="4099" max="4100" width="4.44140625" style="760" customWidth="1"/>
    <col min="4101" max="4101" width="4.88671875" style="760" customWidth="1"/>
    <col min="4102" max="4102" width="6.5546875" style="760" customWidth="1"/>
    <col min="4103" max="4103" width="10.44140625" style="760" customWidth="1"/>
    <col min="4104" max="4104" width="1.44140625" style="760" customWidth="1"/>
    <col min="4105" max="4349" width="7" style="760"/>
    <col min="4350" max="4350" width="4.44140625" style="760" customWidth="1"/>
    <col min="4351" max="4351" width="2.88671875" style="760" customWidth="1"/>
    <col min="4352" max="4352" width="35.5546875" style="760" customWidth="1"/>
    <col min="4353" max="4353" width="4.44140625" style="760" customWidth="1"/>
    <col min="4354" max="4354" width="12.5546875" style="760" customWidth="1"/>
    <col min="4355" max="4356" width="4.44140625" style="760" customWidth="1"/>
    <col min="4357" max="4357" width="4.88671875" style="760" customWidth="1"/>
    <col min="4358" max="4358" width="6.5546875" style="760" customWidth="1"/>
    <col min="4359" max="4359" width="10.44140625" style="760" customWidth="1"/>
    <col min="4360" max="4360" width="1.44140625" style="760" customWidth="1"/>
    <col min="4361" max="4605" width="7" style="760"/>
    <col min="4606" max="4606" width="4.44140625" style="760" customWidth="1"/>
    <col min="4607" max="4607" width="2.88671875" style="760" customWidth="1"/>
    <col min="4608" max="4608" width="35.5546875" style="760" customWidth="1"/>
    <col min="4609" max="4609" width="4.44140625" style="760" customWidth="1"/>
    <col min="4610" max="4610" width="12.5546875" style="760" customWidth="1"/>
    <col min="4611" max="4612" width="4.44140625" style="760" customWidth="1"/>
    <col min="4613" max="4613" width="4.88671875" style="760" customWidth="1"/>
    <col min="4614" max="4614" width="6.5546875" style="760" customWidth="1"/>
    <col min="4615" max="4615" width="10.44140625" style="760" customWidth="1"/>
    <col min="4616" max="4616" width="1.44140625" style="760" customWidth="1"/>
    <col min="4617" max="4861" width="7" style="760"/>
    <col min="4862" max="4862" width="4.44140625" style="760" customWidth="1"/>
    <col min="4863" max="4863" width="2.88671875" style="760" customWidth="1"/>
    <col min="4864" max="4864" width="35.5546875" style="760" customWidth="1"/>
    <col min="4865" max="4865" width="4.44140625" style="760" customWidth="1"/>
    <col min="4866" max="4866" width="12.5546875" style="760" customWidth="1"/>
    <col min="4867" max="4868" width="4.44140625" style="760" customWidth="1"/>
    <col min="4869" max="4869" width="4.88671875" style="760" customWidth="1"/>
    <col min="4870" max="4870" width="6.5546875" style="760" customWidth="1"/>
    <col min="4871" max="4871" width="10.44140625" style="760" customWidth="1"/>
    <col min="4872" max="4872" width="1.44140625" style="760" customWidth="1"/>
    <col min="4873" max="5117" width="7" style="760"/>
    <col min="5118" max="5118" width="4.44140625" style="760" customWidth="1"/>
    <col min="5119" max="5119" width="2.88671875" style="760" customWidth="1"/>
    <col min="5120" max="5120" width="35.5546875" style="760" customWidth="1"/>
    <col min="5121" max="5121" width="4.44140625" style="760" customWidth="1"/>
    <col min="5122" max="5122" width="12.5546875" style="760" customWidth="1"/>
    <col min="5123" max="5124" width="4.44140625" style="760" customWidth="1"/>
    <col min="5125" max="5125" width="4.88671875" style="760" customWidth="1"/>
    <col min="5126" max="5126" width="6.5546875" style="760" customWidth="1"/>
    <col min="5127" max="5127" width="10.44140625" style="760" customWidth="1"/>
    <col min="5128" max="5128" width="1.44140625" style="760" customWidth="1"/>
    <col min="5129" max="5373" width="7" style="760"/>
    <col min="5374" max="5374" width="4.44140625" style="760" customWidth="1"/>
    <col min="5375" max="5375" width="2.88671875" style="760" customWidth="1"/>
    <col min="5376" max="5376" width="35.5546875" style="760" customWidth="1"/>
    <col min="5377" max="5377" width="4.44140625" style="760" customWidth="1"/>
    <col min="5378" max="5378" width="12.5546875" style="760" customWidth="1"/>
    <col min="5379" max="5380" width="4.44140625" style="760" customWidth="1"/>
    <col min="5381" max="5381" width="4.88671875" style="760" customWidth="1"/>
    <col min="5382" max="5382" width="6.5546875" style="760" customWidth="1"/>
    <col min="5383" max="5383" width="10.44140625" style="760" customWidth="1"/>
    <col min="5384" max="5384" width="1.44140625" style="760" customWidth="1"/>
    <col min="5385" max="5629" width="7" style="760"/>
    <col min="5630" max="5630" width="4.44140625" style="760" customWidth="1"/>
    <col min="5631" max="5631" width="2.88671875" style="760" customWidth="1"/>
    <col min="5632" max="5632" width="35.5546875" style="760" customWidth="1"/>
    <col min="5633" max="5633" width="4.44140625" style="760" customWidth="1"/>
    <col min="5634" max="5634" width="12.5546875" style="760" customWidth="1"/>
    <col min="5635" max="5636" width="4.44140625" style="760" customWidth="1"/>
    <col min="5637" max="5637" width="4.88671875" style="760" customWidth="1"/>
    <col min="5638" max="5638" width="6.5546875" style="760" customWidth="1"/>
    <col min="5639" max="5639" width="10.44140625" style="760" customWidth="1"/>
    <col min="5640" max="5640" width="1.44140625" style="760" customWidth="1"/>
    <col min="5641" max="5885" width="7" style="760"/>
    <col min="5886" max="5886" width="4.44140625" style="760" customWidth="1"/>
    <col min="5887" max="5887" width="2.88671875" style="760" customWidth="1"/>
    <col min="5888" max="5888" width="35.5546875" style="760" customWidth="1"/>
    <col min="5889" max="5889" width="4.44140625" style="760" customWidth="1"/>
    <col min="5890" max="5890" width="12.5546875" style="760" customWidth="1"/>
    <col min="5891" max="5892" width="4.44140625" style="760" customWidth="1"/>
    <col min="5893" max="5893" width="4.88671875" style="760" customWidth="1"/>
    <col min="5894" max="5894" width="6.5546875" style="760" customWidth="1"/>
    <col min="5895" max="5895" width="10.44140625" style="760" customWidth="1"/>
    <col min="5896" max="5896" width="1.44140625" style="760" customWidth="1"/>
    <col min="5897" max="6141" width="7" style="760"/>
    <col min="6142" max="6142" width="4.44140625" style="760" customWidth="1"/>
    <col min="6143" max="6143" width="2.88671875" style="760" customWidth="1"/>
    <col min="6144" max="6144" width="35.5546875" style="760" customWidth="1"/>
    <col min="6145" max="6145" width="4.44140625" style="760" customWidth="1"/>
    <col min="6146" max="6146" width="12.5546875" style="760" customWidth="1"/>
    <col min="6147" max="6148" width="4.44140625" style="760" customWidth="1"/>
    <col min="6149" max="6149" width="4.88671875" style="760" customWidth="1"/>
    <col min="6150" max="6150" width="6.5546875" style="760" customWidth="1"/>
    <col min="6151" max="6151" width="10.44140625" style="760" customWidth="1"/>
    <col min="6152" max="6152" width="1.44140625" style="760" customWidth="1"/>
    <col min="6153" max="6397" width="7" style="760"/>
    <col min="6398" max="6398" width="4.44140625" style="760" customWidth="1"/>
    <col min="6399" max="6399" width="2.88671875" style="760" customWidth="1"/>
    <col min="6400" max="6400" width="35.5546875" style="760" customWidth="1"/>
    <col min="6401" max="6401" width="4.44140625" style="760" customWidth="1"/>
    <col min="6402" max="6402" width="12.5546875" style="760" customWidth="1"/>
    <col min="6403" max="6404" width="4.44140625" style="760" customWidth="1"/>
    <col min="6405" max="6405" width="4.88671875" style="760" customWidth="1"/>
    <col min="6406" max="6406" width="6.5546875" style="760" customWidth="1"/>
    <col min="6407" max="6407" width="10.44140625" style="760" customWidth="1"/>
    <col min="6408" max="6408" width="1.44140625" style="760" customWidth="1"/>
    <col min="6409" max="6653" width="7" style="760"/>
    <col min="6654" max="6654" width="4.44140625" style="760" customWidth="1"/>
    <col min="6655" max="6655" width="2.88671875" style="760" customWidth="1"/>
    <col min="6656" max="6656" width="35.5546875" style="760" customWidth="1"/>
    <col min="6657" max="6657" width="4.44140625" style="760" customWidth="1"/>
    <col min="6658" max="6658" width="12.5546875" style="760" customWidth="1"/>
    <col min="6659" max="6660" width="4.44140625" style="760" customWidth="1"/>
    <col min="6661" max="6661" width="4.88671875" style="760" customWidth="1"/>
    <col min="6662" max="6662" width="6.5546875" style="760" customWidth="1"/>
    <col min="6663" max="6663" width="10.44140625" style="760" customWidth="1"/>
    <col min="6664" max="6664" width="1.44140625" style="760" customWidth="1"/>
    <col min="6665" max="6909" width="7" style="760"/>
    <col min="6910" max="6910" width="4.44140625" style="760" customWidth="1"/>
    <col min="6911" max="6911" width="2.88671875" style="760" customWidth="1"/>
    <col min="6912" max="6912" width="35.5546875" style="760" customWidth="1"/>
    <col min="6913" max="6913" width="4.44140625" style="760" customWidth="1"/>
    <col min="6914" max="6914" width="12.5546875" style="760" customWidth="1"/>
    <col min="6915" max="6916" width="4.44140625" style="760" customWidth="1"/>
    <col min="6917" max="6917" width="4.88671875" style="760" customWidth="1"/>
    <col min="6918" max="6918" width="6.5546875" style="760" customWidth="1"/>
    <col min="6919" max="6919" width="10.44140625" style="760" customWidth="1"/>
    <col min="6920" max="6920" width="1.44140625" style="760" customWidth="1"/>
    <col min="6921" max="7165" width="7" style="760"/>
    <col min="7166" max="7166" width="4.44140625" style="760" customWidth="1"/>
    <col min="7167" max="7167" width="2.88671875" style="760" customWidth="1"/>
    <col min="7168" max="7168" width="35.5546875" style="760" customWidth="1"/>
    <col min="7169" max="7169" width="4.44140625" style="760" customWidth="1"/>
    <col min="7170" max="7170" width="12.5546875" style="760" customWidth="1"/>
    <col min="7171" max="7172" width="4.44140625" style="760" customWidth="1"/>
    <col min="7173" max="7173" width="4.88671875" style="760" customWidth="1"/>
    <col min="7174" max="7174" width="6.5546875" style="760" customWidth="1"/>
    <col min="7175" max="7175" width="10.44140625" style="760" customWidth="1"/>
    <col min="7176" max="7176" width="1.44140625" style="760" customWidth="1"/>
    <col min="7177" max="7421" width="7" style="760"/>
    <col min="7422" max="7422" width="4.44140625" style="760" customWidth="1"/>
    <col min="7423" max="7423" width="2.88671875" style="760" customWidth="1"/>
    <col min="7424" max="7424" width="35.5546875" style="760" customWidth="1"/>
    <col min="7425" max="7425" width="4.44140625" style="760" customWidth="1"/>
    <col min="7426" max="7426" width="12.5546875" style="760" customWidth="1"/>
    <col min="7427" max="7428" width="4.44140625" style="760" customWidth="1"/>
    <col min="7429" max="7429" width="4.88671875" style="760" customWidth="1"/>
    <col min="7430" max="7430" width="6.5546875" style="760" customWidth="1"/>
    <col min="7431" max="7431" width="10.44140625" style="760" customWidth="1"/>
    <col min="7432" max="7432" width="1.44140625" style="760" customWidth="1"/>
    <col min="7433" max="7677" width="7" style="760"/>
    <col min="7678" max="7678" width="4.44140625" style="760" customWidth="1"/>
    <col min="7679" max="7679" width="2.88671875" style="760" customWidth="1"/>
    <col min="7680" max="7680" width="35.5546875" style="760" customWidth="1"/>
    <col min="7681" max="7681" width="4.44140625" style="760" customWidth="1"/>
    <col min="7682" max="7682" width="12.5546875" style="760" customWidth="1"/>
    <col min="7683" max="7684" width="4.44140625" style="760" customWidth="1"/>
    <col min="7685" max="7685" width="4.88671875" style="760" customWidth="1"/>
    <col min="7686" max="7686" width="6.5546875" style="760" customWidth="1"/>
    <col min="7687" max="7687" width="10.44140625" style="760" customWidth="1"/>
    <col min="7688" max="7688" width="1.44140625" style="760" customWidth="1"/>
    <col min="7689" max="7933" width="7" style="760"/>
    <col min="7934" max="7934" width="4.44140625" style="760" customWidth="1"/>
    <col min="7935" max="7935" width="2.88671875" style="760" customWidth="1"/>
    <col min="7936" max="7936" width="35.5546875" style="760" customWidth="1"/>
    <col min="7937" max="7937" width="4.44140625" style="760" customWidth="1"/>
    <col min="7938" max="7938" width="12.5546875" style="760" customWidth="1"/>
    <col min="7939" max="7940" width="4.44140625" style="760" customWidth="1"/>
    <col min="7941" max="7941" width="4.88671875" style="760" customWidth="1"/>
    <col min="7942" max="7942" width="6.5546875" style="760" customWidth="1"/>
    <col min="7943" max="7943" width="10.44140625" style="760" customWidth="1"/>
    <col min="7944" max="7944" width="1.44140625" style="760" customWidth="1"/>
    <col min="7945" max="8189" width="7" style="760"/>
    <col min="8190" max="8190" width="4.44140625" style="760" customWidth="1"/>
    <col min="8191" max="8191" width="2.88671875" style="760" customWidth="1"/>
    <col min="8192" max="8192" width="35.5546875" style="760" customWidth="1"/>
    <col min="8193" max="8193" width="4.44140625" style="760" customWidth="1"/>
    <col min="8194" max="8194" width="12.5546875" style="760" customWidth="1"/>
    <col min="8195" max="8196" width="4.44140625" style="760" customWidth="1"/>
    <col min="8197" max="8197" width="4.88671875" style="760" customWidth="1"/>
    <col min="8198" max="8198" width="6.5546875" style="760" customWidth="1"/>
    <col min="8199" max="8199" width="10.44140625" style="760" customWidth="1"/>
    <col min="8200" max="8200" width="1.44140625" style="760" customWidth="1"/>
    <col min="8201" max="8445" width="7" style="760"/>
    <col min="8446" max="8446" width="4.44140625" style="760" customWidth="1"/>
    <col min="8447" max="8447" width="2.88671875" style="760" customWidth="1"/>
    <col min="8448" max="8448" width="35.5546875" style="760" customWidth="1"/>
    <col min="8449" max="8449" width="4.44140625" style="760" customWidth="1"/>
    <col min="8450" max="8450" width="12.5546875" style="760" customWidth="1"/>
    <col min="8451" max="8452" width="4.44140625" style="760" customWidth="1"/>
    <col min="8453" max="8453" width="4.88671875" style="760" customWidth="1"/>
    <col min="8454" max="8454" width="6.5546875" style="760" customWidth="1"/>
    <col min="8455" max="8455" width="10.44140625" style="760" customWidth="1"/>
    <col min="8456" max="8456" width="1.44140625" style="760" customWidth="1"/>
    <col min="8457" max="8701" width="7" style="760"/>
    <col min="8702" max="8702" width="4.44140625" style="760" customWidth="1"/>
    <col min="8703" max="8703" width="2.88671875" style="760" customWidth="1"/>
    <col min="8704" max="8704" width="35.5546875" style="760" customWidth="1"/>
    <col min="8705" max="8705" width="4.44140625" style="760" customWidth="1"/>
    <col min="8706" max="8706" width="12.5546875" style="760" customWidth="1"/>
    <col min="8707" max="8708" width="4.44140625" style="760" customWidth="1"/>
    <col min="8709" max="8709" width="4.88671875" style="760" customWidth="1"/>
    <col min="8710" max="8710" width="6.5546875" style="760" customWidth="1"/>
    <col min="8711" max="8711" width="10.44140625" style="760" customWidth="1"/>
    <col min="8712" max="8712" width="1.44140625" style="760" customWidth="1"/>
    <col min="8713" max="8957" width="7" style="760"/>
    <col min="8958" max="8958" width="4.44140625" style="760" customWidth="1"/>
    <col min="8959" max="8959" width="2.88671875" style="760" customWidth="1"/>
    <col min="8960" max="8960" width="35.5546875" style="760" customWidth="1"/>
    <col min="8961" max="8961" width="4.44140625" style="760" customWidth="1"/>
    <col min="8962" max="8962" width="12.5546875" style="760" customWidth="1"/>
    <col min="8963" max="8964" width="4.44140625" style="760" customWidth="1"/>
    <col min="8965" max="8965" width="4.88671875" style="760" customWidth="1"/>
    <col min="8966" max="8966" width="6.5546875" style="760" customWidth="1"/>
    <col min="8967" max="8967" width="10.44140625" style="760" customWidth="1"/>
    <col min="8968" max="8968" width="1.44140625" style="760" customWidth="1"/>
    <col min="8969" max="9213" width="7" style="760"/>
    <col min="9214" max="9214" width="4.44140625" style="760" customWidth="1"/>
    <col min="9215" max="9215" width="2.88671875" style="760" customWidth="1"/>
    <col min="9216" max="9216" width="35.5546875" style="760" customWidth="1"/>
    <col min="9217" max="9217" width="4.44140625" style="760" customWidth="1"/>
    <col min="9218" max="9218" width="12.5546875" style="760" customWidth="1"/>
    <col min="9219" max="9220" width="4.44140625" style="760" customWidth="1"/>
    <col min="9221" max="9221" width="4.88671875" style="760" customWidth="1"/>
    <col min="9222" max="9222" width="6.5546875" style="760" customWidth="1"/>
    <col min="9223" max="9223" width="10.44140625" style="760" customWidth="1"/>
    <col min="9224" max="9224" width="1.44140625" style="760" customWidth="1"/>
    <col min="9225" max="9469" width="7" style="760"/>
    <col min="9470" max="9470" width="4.44140625" style="760" customWidth="1"/>
    <col min="9471" max="9471" width="2.88671875" style="760" customWidth="1"/>
    <col min="9472" max="9472" width="35.5546875" style="760" customWidth="1"/>
    <col min="9473" max="9473" width="4.44140625" style="760" customWidth="1"/>
    <col min="9474" max="9474" width="12.5546875" style="760" customWidth="1"/>
    <col min="9475" max="9476" width="4.44140625" style="760" customWidth="1"/>
    <col min="9477" max="9477" width="4.88671875" style="760" customWidth="1"/>
    <col min="9478" max="9478" width="6.5546875" style="760" customWidth="1"/>
    <col min="9479" max="9479" width="10.44140625" style="760" customWidth="1"/>
    <col min="9480" max="9480" width="1.44140625" style="760" customWidth="1"/>
    <col min="9481" max="9725" width="7" style="760"/>
    <col min="9726" max="9726" width="4.44140625" style="760" customWidth="1"/>
    <col min="9727" max="9727" width="2.88671875" style="760" customWidth="1"/>
    <col min="9728" max="9728" width="35.5546875" style="760" customWidth="1"/>
    <col min="9729" max="9729" width="4.44140625" style="760" customWidth="1"/>
    <col min="9730" max="9730" width="12.5546875" style="760" customWidth="1"/>
    <col min="9731" max="9732" width="4.44140625" style="760" customWidth="1"/>
    <col min="9733" max="9733" width="4.88671875" style="760" customWidth="1"/>
    <col min="9734" max="9734" width="6.5546875" style="760" customWidth="1"/>
    <col min="9735" max="9735" width="10.44140625" style="760" customWidth="1"/>
    <col min="9736" max="9736" width="1.44140625" style="760" customWidth="1"/>
    <col min="9737" max="9981" width="7" style="760"/>
    <col min="9982" max="9982" width="4.44140625" style="760" customWidth="1"/>
    <col min="9983" max="9983" width="2.88671875" style="760" customWidth="1"/>
    <col min="9984" max="9984" width="35.5546875" style="760" customWidth="1"/>
    <col min="9985" max="9985" width="4.44140625" style="760" customWidth="1"/>
    <col min="9986" max="9986" width="12.5546875" style="760" customWidth="1"/>
    <col min="9987" max="9988" width="4.44140625" style="760" customWidth="1"/>
    <col min="9989" max="9989" width="4.88671875" style="760" customWidth="1"/>
    <col min="9990" max="9990" width="6.5546875" style="760" customWidth="1"/>
    <col min="9991" max="9991" width="10.44140625" style="760" customWidth="1"/>
    <col min="9992" max="9992" width="1.44140625" style="760" customWidth="1"/>
    <col min="9993" max="10237" width="7" style="760"/>
    <col min="10238" max="10238" width="4.44140625" style="760" customWidth="1"/>
    <col min="10239" max="10239" width="2.88671875" style="760" customWidth="1"/>
    <col min="10240" max="10240" width="35.5546875" style="760" customWidth="1"/>
    <col min="10241" max="10241" width="4.44140625" style="760" customWidth="1"/>
    <col min="10242" max="10242" width="12.5546875" style="760" customWidth="1"/>
    <col min="10243" max="10244" width="4.44140625" style="760" customWidth="1"/>
    <col min="10245" max="10245" width="4.88671875" style="760" customWidth="1"/>
    <col min="10246" max="10246" width="6.5546875" style="760" customWidth="1"/>
    <col min="10247" max="10247" width="10.44140625" style="760" customWidth="1"/>
    <col min="10248" max="10248" width="1.44140625" style="760" customWidth="1"/>
    <col min="10249" max="10493" width="7" style="760"/>
    <col min="10494" max="10494" width="4.44140625" style="760" customWidth="1"/>
    <col min="10495" max="10495" width="2.88671875" style="760" customWidth="1"/>
    <col min="10496" max="10496" width="35.5546875" style="760" customWidth="1"/>
    <col min="10497" max="10497" width="4.44140625" style="760" customWidth="1"/>
    <col min="10498" max="10498" width="12.5546875" style="760" customWidth="1"/>
    <col min="10499" max="10500" width="4.44140625" style="760" customWidth="1"/>
    <col min="10501" max="10501" width="4.88671875" style="760" customWidth="1"/>
    <col min="10502" max="10502" width="6.5546875" style="760" customWidth="1"/>
    <col min="10503" max="10503" width="10.44140625" style="760" customWidth="1"/>
    <col min="10504" max="10504" width="1.44140625" style="760" customWidth="1"/>
    <col min="10505" max="10749" width="7" style="760"/>
    <col min="10750" max="10750" width="4.44140625" style="760" customWidth="1"/>
    <col min="10751" max="10751" width="2.88671875" style="760" customWidth="1"/>
    <col min="10752" max="10752" width="35.5546875" style="760" customWidth="1"/>
    <col min="10753" max="10753" width="4.44140625" style="760" customWidth="1"/>
    <col min="10754" max="10754" width="12.5546875" style="760" customWidth="1"/>
    <col min="10755" max="10756" width="4.44140625" style="760" customWidth="1"/>
    <col min="10757" max="10757" width="4.88671875" style="760" customWidth="1"/>
    <col min="10758" max="10758" width="6.5546875" style="760" customWidth="1"/>
    <col min="10759" max="10759" width="10.44140625" style="760" customWidth="1"/>
    <col min="10760" max="10760" width="1.44140625" style="760" customWidth="1"/>
    <col min="10761" max="11005" width="7" style="760"/>
    <col min="11006" max="11006" width="4.44140625" style="760" customWidth="1"/>
    <col min="11007" max="11007" width="2.88671875" style="760" customWidth="1"/>
    <col min="11008" max="11008" width="35.5546875" style="760" customWidth="1"/>
    <col min="11009" max="11009" width="4.44140625" style="760" customWidth="1"/>
    <col min="11010" max="11010" width="12.5546875" style="760" customWidth="1"/>
    <col min="11011" max="11012" width="4.44140625" style="760" customWidth="1"/>
    <col min="11013" max="11013" width="4.88671875" style="760" customWidth="1"/>
    <col min="11014" max="11014" width="6.5546875" style="760" customWidth="1"/>
    <col min="11015" max="11015" width="10.44140625" style="760" customWidth="1"/>
    <col min="11016" max="11016" width="1.44140625" style="760" customWidth="1"/>
    <col min="11017" max="11261" width="7" style="760"/>
    <col min="11262" max="11262" width="4.44140625" style="760" customWidth="1"/>
    <col min="11263" max="11263" width="2.88671875" style="760" customWidth="1"/>
    <col min="11264" max="11264" width="35.5546875" style="760" customWidth="1"/>
    <col min="11265" max="11265" width="4.44140625" style="760" customWidth="1"/>
    <col min="11266" max="11266" width="12.5546875" style="760" customWidth="1"/>
    <col min="11267" max="11268" width="4.44140625" style="760" customWidth="1"/>
    <col min="11269" max="11269" width="4.88671875" style="760" customWidth="1"/>
    <col min="11270" max="11270" width="6.5546875" style="760" customWidth="1"/>
    <col min="11271" max="11271" width="10.44140625" style="760" customWidth="1"/>
    <col min="11272" max="11272" width="1.44140625" style="760" customWidth="1"/>
    <col min="11273" max="11517" width="7" style="760"/>
    <col min="11518" max="11518" width="4.44140625" style="760" customWidth="1"/>
    <col min="11519" max="11519" width="2.88671875" style="760" customWidth="1"/>
    <col min="11520" max="11520" width="35.5546875" style="760" customWidth="1"/>
    <col min="11521" max="11521" width="4.44140625" style="760" customWidth="1"/>
    <col min="11522" max="11522" width="12.5546875" style="760" customWidth="1"/>
    <col min="11523" max="11524" width="4.44140625" style="760" customWidth="1"/>
    <col min="11525" max="11525" width="4.88671875" style="760" customWidth="1"/>
    <col min="11526" max="11526" width="6.5546875" style="760" customWidth="1"/>
    <col min="11527" max="11527" width="10.44140625" style="760" customWidth="1"/>
    <col min="11528" max="11528" width="1.44140625" style="760" customWidth="1"/>
    <col min="11529" max="11773" width="7" style="760"/>
    <col min="11774" max="11774" width="4.44140625" style="760" customWidth="1"/>
    <col min="11775" max="11775" width="2.88671875" style="760" customWidth="1"/>
    <col min="11776" max="11776" width="35.5546875" style="760" customWidth="1"/>
    <col min="11777" max="11777" width="4.44140625" style="760" customWidth="1"/>
    <col min="11778" max="11778" width="12.5546875" style="760" customWidth="1"/>
    <col min="11779" max="11780" width="4.44140625" style="760" customWidth="1"/>
    <col min="11781" max="11781" width="4.88671875" style="760" customWidth="1"/>
    <col min="11782" max="11782" width="6.5546875" style="760" customWidth="1"/>
    <col min="11783" max="11783" width="10.44140625" style="760" customWidth="1"/>
    <col min="11784" max="11784" width="1.44140625" style="760" customWidth="1"/>
    <col min="11785" max="12029" width="7" style="760"/>
    <col min="12030" max="12030" width="4.44140625" style="760" customWidth="1"/>
    <col min="12031" max="12031" width="2.88671875" style="760" customWidth="1"/>
    <col min="12032" max="12032" width="35.5546875" style="760" customWidth="1"/>
    <col min="12033" max="12033" width="4.44140625" style="760" customWidth="1"/>
    <col min="12034" max="12034" width="12.5546875" style="760" customWidth="1"/>
    <col min="12035" max="12036" width="4.44140625" style="760" customWidth="1"/>
    <col min="12037" max="12037" width="4.88671875" style="760" customWidth="1"/>
    <col min="12038" max="12038" width="6.5546875" style="760" customWidth="1"/>
    <col min="12039" max="12039" width="10.44140625" style="760" customWidth="1"/>
    <col min="12040" max="12040" width="1.44140625" style="760" customWidth="1"/>
    <col min="12041" max="12285" width="7" style="760"/>
    <col min="12286" max="12286" width="4.44140625" style="760" customWidth="1"/>
    <col min="12287" max="12287" width="2.88671875" style="760" customWidth="1"/>
    <col min="12288" max="12288" width="35.5546875" style="760" customWidth="1"/>
    <col min="12289" max="12289" width="4.44140625" style="760" customWidth="1"/>
    <col min="12290" max="12290" width="12.5546875" style="760" customWidth="1"/>
    <col min="12291" max="12292" width="4.44140625" style="760" customWidth="1"/>
    <col min="12293" max="12293" width="4.88671875" style="760" customWidth="1"/>
    <col min="12294" max="12294" width="6.5546875" style="760" customWidth="1"/>
    <col min="12295" max="12295" width="10.44140625" style="760" customWidth="1"/>
    <col min="12296" max="12296" width="1.44140625" style="760" customWidth="1"/>
    <col min="12297" max="12541" width="7" style="760"/>
    <col min="12542" max="12542" width="4.44140625" style="760" customWidth="1"/>
    <col min="12543" max="12543" width="2.88671875" style="760" customWidth="1"/>
    <col min="12544" max="12544" width="35.5546875" style="760" customWidth="1"/>
    <col min="12545" max="12545" width="4.44140625" style="760" customWidth="1"/>
    <col min="12546" max="12546" width="12.5546875" style="760" customWidth="1"/>
    <col min="12547" max="12548" width="4.44140625" style="760" customWidth="1"/>
    <col min="12549" max="12549" width="4.88671875" style="760" customWidth="1"/>
    <col min="12550" max="12550" width="6.5546875" style="760" customWidth="1"/>
    <col min="12551" max="12551" width="10.44140625" style="760" customWidth="1"/>
    <col min="12552" max="12552" width="1.44140625" style="760" customWidth="1"/>
    <col min="12553" max="12797" width="7" style="760"/>
    <col min="12798" max="12798" width="4.44140625" style="760" customWidth="1"/>
    <col min="12799" max="12799" width="2.88671875" style="760" customWidth="1"/>
    <col min="12800" max="12800" width="35.5546875" style="760" customWidth="1"/>
    <col min="12801" max="12801" width="4.44140625" style="760" customWidth="1"/>
    <col min="12802" max="12802" width="12.5546875" style="760" customWidth="1"/>
    <col min="12803" max="12804" width="4.44140625" style="760" customWidth="1"/>
    <col min="12805" max="12805" width="4.88671875" style="760" customWidth="1"/>
    <col min="12806" max="12806" width="6.5546875" style="760" customWidth="1"/>
    <col min="12807" max="12807" width="10.44140625" style="760" customWidth="1"/>
    <col min="12808" max="12808" width="1.44140625" style="760" customWidth="1"/>
    <col min="12809" max="13053" width="7" style="760"/>
    <col min="13054" max="13054" width="4.44140625" style="760" customWidth="1"/>
    <col min="13055" max="13055" width="2.88671875" style="760" customWidth="1"/>
    <col min="13056" max="13056" width="35.5546875" style="760" customWidth="1"/>
    <col min="13057" max="13057" width="4.44140625" style="760" customWidth="1"/>
    <col min="13058" max="13058" width="12.5546875" style="760" customWidth="1"/>
    <col min="13059" max="13060" width="4.44140625" style="760" customWidth="1"/>
    <col min="13061" max="13061" width="4.88671875" style="760" customWidth="1"/>
    <col min="13062" max="13062" width="6.5546875" style="760" customWidth="1"/>
    <col min="13063" max="13063" width="10.44140625" style="760" customWidth="1"/>
    <col min="13064" max="13064" width="1.44140625" style="760" customWidth="1"/>
    <col min="13065" max="13309" width="7" style="760"/>
    <col min="13310" max="13310" width="4.44140625" style="760" customWidth="1"/>
    <col min="13311" max="13311" width="2.88671875" style="760" customWidth="1"/>
    <col min="13312" max="13312" width="35.5546875" style="760" customWidth="1"/>
    <col min="13313" max="13313" width="4.44140625" style="760" customWidth="1"/>
    <col min="13314" max="13314" width="12.5546875" style="760" customWidth="1"/>
    <col min="13315" max="13316" width="4.44140625" style="760" customWidth="1"/>
    <col min="13317" max="13317" width="4.88671875" style="760" customWidth="1"/>
    <col min="13318" max="13318" width="6.5546875" style="760" customWidth="1"/>
    <col min="13319" max="13319" width="10.44140625" style="760" customWidth="1"/>
    <col min="13320" max="13320" width="1.44140625" style="760" customWidth="1"/>
    <col min="13321" max="13565" width="7" style="760"/>
    <col min="13566" max="13566" width="4.44140625" style="760" customWidth="1"/>
    <col min="13567" max="13567" width="2.88671875" style="760" customWidth="1"/>
    <col min="13568" max="13568" width="35.5546875" style="760" customWidth="1"/>
    <col min="13569" max="13569" width="4.44140625" style="760" customWidth="1"/>
    <col min="13570" max="13570" width="12.5546875" style="760" customWidth="1"/>
    <col min="13571" max="13572" width="4.44140625" style="760" customWidth="1"/>
    <col min="13573" max="13573" width="4.88671875" style="760" customWidth="1"/>
    <col min="13574" max="13574" width="6.5546875" style="760" customWidth="1"/>
    <col min="13575" max="13575" width="10.44140625" style="760" customWidth="1"/>
    <col min="13576" max="13576" width="1.44140625" style="760" customWidth="1"/>
    <col min="13577" max="13821" width="7" style="760"/>
    <col min="13822" max="13822" width="4.44140625" style="760" customWidth="1"/>
    <col min="13823" max="13823" width="2.88671875" style="760" customWidth="1"/>
    <col min="13824" max="13824" width="35.5546875" style="760" customWidth="1"/>
    <col min="13825" max="13825" width="4.44140625" style="760" customWidth="1"/>
    <col min="13826" max="13826" width="12.5546875" style="760" customWidth="1"/>
    <col min="13827" max="13828" width="4.44140625" style="760" customWidth="1"/>
    <col min="13829" max="13829" width="4.88671875" style="760" customWidth="1"/>
    <col min="13830" max="13830" width="6.5546875" style="760" customWidth="1"/>
    <col min="13831" max="13831" width="10.44140625" style="760" customWidth="1"/>
    <col min="13832" max="13832" width="1.44140625" style="760" customWidth="1"/>
    <col min="13833" max="14077" width="7" style="760"/>
    <col min="14078" max="14078" width="4.44140625" style="760" customWidth="1"/>
    <col min="14079" max="14079" width="2.88671875" style="760" customWidth="1"/>
    <col min="14080" max="14080" width="35.5546875" style="760" customWidth="1"/>
    <col min="14081" max="14081" width="4.44140625" style="760" customWidth="1"/>
    <col min="14082" max="14082" width="12.5546875" style="760" customWidth="1"/>
    <col min="14083" max="14084" width="4.44140625" style="760" customWidth="1"/>
    <col min="14085" max="14085" width="4.88671875" style="760" customWidth="1"/>
    <col min="14086" max="14086" width="6.5546875" style="760" customWidth="1"/>
    <col min="14087" max="14087" width="10.44140625" style="760" customWidth="1"/>
    <col min="14088" max="14088" width="1.44140625" style="760" customWidth="1"/>
    <col min="14089" max="14333" width="7" style="760"/>
    <col min="14334" max="14334" width="4.44140625" style="760" customWidth="1"/>
    <col min="14335" max="14335" width="2.88671875" style="760" customWidth="1"/>
    <col min="14336" max="14336" width="35.5546875" style="760" customWidth="1"/>
    <col min="14337" max="14337" width="4.44140625" style="760" customWidth="1"/>
    <col min="14338" max="14338" width="12.5546875" style="760" customWidth="1"/>
    <col min="14339" max="14340" width="4.44140625" style="760" customWidth="1"/>
    <col min="14341" max="14341" width="4.88671875" style="760" customWidth="1"/>
    <col min="14342" max="14342" width="6.5546875" style="760" customWidth="1"/>
    <col min="14343" max="14343" width="10.44140625" style="760" customWidth="1"/>
    <col min="14344" max="14344" width="1.44140625" style="760" customWidth="1"/>
    <col min="14345" max="14589" width="7" style="760"/>
    <col min="14590" max="14590" width="4.44140625" style="760" customWidth="1"/>
    <col min="14591" max="14591" width="2.88671875" style="760" customWidth="1"/>
    <col min="14592" max="14592" width="35.5546875" style="760" customWidth="1"/>
    <col min="14593" max="14593" width="4.44140625" style="760" customWidth="1"/>
    <col min="14594" max="14594" width="12.5546875" style="760" customWidth="1"/>
    <col min="14595" max="14596" width="4.44140625" style="760" customWidth="1"/>
    <col min="14597" max="14597" width="4.88671875" style="760" customWidth="1"/>
    <col min="14598" max="14598" width="6.5546875" style="760" customWidth="1"/>
    <col min="14599" max="14599" width="10.44140625" style="760" customWidth="1"/>
    <col min="14600" max="14600" width="1.44140625" style="760" customWidth="1"/>
    <col min="14601" max="14845" width="7" style="760"/>
    <col min="14846" max="14846" width="4.44140625" style="760" customWidth="1"/>
    <col min="14847" max="14847" width="2.88671875" style="760" customWidth="1"/>
    <col min="14848" max="14848" width="35.5546875" style="760" customWidth="1"/>
    <col min="14849" max="14849" width="4.44140625" style="760" customWidth="1"/>
    <col min="14850" max="14850" width="12.5546875" style="760" customWidth="1"/>
    <col min="14851" max="14852" width="4.44140625" style="760" customWidth="1"/>
    <col min="14853" max="14853" width="4.88671875" style="760" customWidth="1"/>
    <col min="14854" max="14854" width="6.5546875" style="760" customWidth="1"/>
    <col min="14855" max="14855" width="10.44140625" style="760" customWidth="1"/>
    <col min="14856" max="14856" width="1.44140625" style="760" customWidth="1"/>
    <col min="14857" max="15101" width="7" style="760"/>
    <col min="15102" max="15102" width="4.44140625" style="760" customWidth="1"/>
    <col min="15103" max="15103" width="2.88671875" style="760" customWidth="1"/>
    <col min="15104" max="15104" width="35.5546875" style="760" customWidth="1"/>
    <col min="15105" max="15105" width="4.44140625" style="760" customWidth="1"/>
    <col min="15106" max="15106" width="12.5546875" style="760" customWidth="1"/>
    <col min="15107" max="15108" width="4.44140625" style="760" customWidth="1"/>
    <col min="15109" max="15109" width="4.88671875" style="760" customWidth="1"/>
    <col min="15110" max="15110" width="6.5546875" style="760" customWidth="1"/>
    <col min="15111" max="15111" width="10.44140625" style="760" customWidth="1"/>
    <col min="15112" max="15112" width="1.44140625" style="760" customWidth="1"/>
    <col min="15113" max="15357" width="7" style="760"/>
    <col min="15358" max="15358" width="4.44140625" style="760" customWidth="1"/>
    <col min="15359" max="15359" width="2.88671875" style="760" customWidth="1"/>
    <col min="15360" max="15360" width="35.5546875" style="760" customWidth="1"/>
    <col min="15361" max="15361" width="4.44140625" style="760" customWidth="1"/>
    <col min="15362" max="15362" width="12.5546875" style="760" customWidth="1"/>
    <col min="15363" max="15364" width="4.44140625" style="760" customWidth="1"/>
    <col min="15365" max="15365" width="4.88671875" style="760" customWidth="1"/>
    <col min="15366" max="15366" width="6.5546875" style="760" customWidth="1"/>
    <col min="15367" max="15367" width="10.44140625" style="760" customWidth="1"/>
    <col min="15368" max="15368" width="1.44140625" style="760" customWidth="1"/>
    <col min="15369" max="15613" width="7" style="760"/>
    <col min="15614" max="15614" width="4.44140625" style="760" customWidth="1"/>
    <col min="15615" max="15615" width="2.88671875" style="760" customWidth="1"/>
    <col min="15616" max="15616" width="35.5546875" style="760" customWidth="1"/>
    <col min="15617" max="15617" width="4.44140625" style="760" customWidth="1"/>
    <col min="15618" max="15618" width="12.5546875" style="760" customWidth="1"/>
    <col min="15619" max="15620" width="4.44140625" style="760" customWidth="1"/>
    <col min="15621" max="15621" width="4.88671875" style="760" customWidth="1"/>
    <col min="15622" max="15622" width="6.5546875" style="760" customWidth="1"/>
    <col min="15623" max="15623" width="10.44140625" style="760" customWidth="1"/>
    <col min="15624" max="15624" width="1.44140625" style="760" customWidth="1"/>
    <col min="15625" max="15869" width="7" style="760"/>
    <col min="15870" max="15870" width="4.44140625" style="760" customWidth="1"/>
    <col min="15871" max="15871" width="2.88671875" style="760" customWidth="1"/>
    <col min="15872" max="15872" width="35.5546875" style="760" customWidth="1"/>
    <col min="15873" max="15873" width="4.44140625" style="760" customWidth="1"/>
    <col min="15874" max="15874" width="12.5546875" style="760" customWidth="1"/>
    <col min="15875" max="15876" width="4.44140625" style="760" customWidth="1"/>
    <col min="15877" max="15877" width="4.88671875" style="760" customWidth="1"/>
    <col min="15878" max="15878" width="6.5546875" style="760" customWidth="1"/>
    <col min="15879" max="15879" width="10.44140625" style="760" customWidth="1"/>
    <col min="15880" max="15880" width="1.44140625" style="760" customWidth="1"/>
    <col min="15881" max="16125" width="7" style="760"/>
    <col min="16126" max="16126" width="4.44140625" style="760" customWidth="1"/>
    <col min="16127" max="16127" width="2.88671875" style="760" customWidth="1"/>
    <col min="16128" max="16128" width="35.5546875" style="760" customWidth="1"/>
    <col min="16129" max="16129" width="4.44140625" style="760" customWidth="1"/>
    <col min="16130" max="16130" width="12.5546875" style="760" customWidth="1"/>
    <col min="16131" max="16132" width="4.44140625" style="760" customWidth="1"/>
    <col min="16133" max="16133" width="4.88671875" style="760" customWidth="1"/>
    <col min="16134" max="16134" width="6.5546875" style="760" customWidth="1"/>
    <col min="16135" max="16135" width="10.44140625" style="760" customWidth="1"/>
    <col min="16136" max="16136" width="1.44140625" style="760" customWidth="1"/>
    <col min="16137" max="16384" width="7" style="760"/>
  </cols>
  <sheetData>
    <row r="1" spans="1:9">
      <c r="A1" s="759"/>
      <c r="H1" s="761" t="s">
        <v>1167</v>
      </c>
    </row>
    <row r="2" spans="1:9">
      <c r="B2" s="762"/>
      <c r="C2" s="762"/>
      <c r="D2" s="762"/>
      <c r="E2" s="762"/>
      <c r="F2" s="763"/>
      <c r="G2" s="764"/>
      <c r="H2" s="763" t="s">
        <v>797</v>
      </c>
    </row>
    <row r="3" spans="1:9">
      <c r="A3" s="1195" t="s">
        <v>4</v>
      </c>
      <c r="B3" s="1195"/>
      <c r="C3" s="1195"/>
      <c r="D3" s="1195"/>
      <c r="E3" s="1195"/>
      <c r="F3" s="1195"/>
      <c r="G3" s="1195"/>
      <c r="H3" s="488"/>
    </row>
    <row r="4" spans="1:9">
      <c r="A4" s="1196" t="s">
        <v>1168</v>
      </c>
      <c r="B4" s="1196"/>
      <c r="C4" s="1196"/>
      <c r="D4" s="1196"/>
      <c r="E4" s="1196"/>
      <c r="F4" s="1196"/>
      <c r="G4" s="1196"/>
      <c r="H4" s="766"/>
    </row>
    <row r="5" spans="1:9">
      <c r="A5" s="1195" t="str">
        <f>'A1'!A5:J5</f>
        <v>Test Year Ended June 30, 2024</v>
      </c>
      <c r="B5" s="1195"/>
      <c r="C5" s="1195"/>
      <c r="D5" s="1195"/>
      <c r="E5" s="1195"/>
      <c r="F5" s="1195"/>
      <c r="G5" s="1195"/>
      <c r="H5" s="762"/>
    </row>
    <row r="6" spans="1:9">
      <c r="A6" s="759"/>
    </row>
    <row r="7" spans="1:9">
      <c r="B7" s="759"/>
      <c r="C7" s="759"/>
      <c r="D7" s="759"/>
      <c r="E7" s="759" t="s">
        <v>1169</v>
      </c>
      <c r="F7" s="759"/>
    </row>
    <row r="8" spans="1:9">
      <c r="A8" s="759" t="s">
        <v>331</v>
      </c>
      <c r="B8" s="759"/>
      <c r="C8" s="759"/>
      <c r="D8" s="759"/>
      <c r="E8" s="759" t="s">
        <v>1170</v>
      </c>
      <c r="F8" s="759"/>
      <c r="G8" s="759" t="s">
        <v>1171</v>
      </c>
    </row>
    <row r="9" spans="1:9">
      <c r="A9" s="767" t="s">
        <v>333</v>
      </c>
      <c r="B9" s="759"/>
      <c r="C9" s="1129" t="s">
        <v>0</v>
      </c>
      <c r="D9" s="759"/>
      <c r="E9" s="767" t="s">
        <v>1172</v>
      </c>
      <c r="F9" s="759"/>
      <c r="G9" s="767" t="s">
        <v>333</v>
      </c>
    </row>
    <row r="11" spans="1:9">
      <c r="A11" s="759" t="s">
        <v>1173</v>
      </c>
      <c r="C11" s="768" t="s">
        <v>1174</v>
      </c>
      <c r="E11" s="1110">
        <v>1</v>
      </c>
      <c r="G11" s="759" t="s">
        <v>1173</v>
      </c>
    </row>
    <row r="12" spans="1:9">
      <c r="A12" s="759"/>
      <c r="E12" s="759"/>
      <c r="G12" s="759"/>
    </row>
    <row r="13" spans="1:9">
      <c r="A13" s="759" t="s">
        <v>1175</v>
      </c>
      <c r="C13" s="760" t="s">
        <v>1176</v>
      </c>
      <c r="E13" s="1144">
        <v>2.3894685863390117E-3</v>
      </c>
      <c r="G13" s="759" t="s">
        <v>1175</v>
      </c>
      <c r="I13" s="1142" t="s">
        <v>1950</v>
      </c>
    </row>
    <row r="14" spans="1:9">
      <c r="A14" s="759"/>
      <c r="E14" s="759"/>
      <c r="G14" s="759"/>
    </row>
    <row r="15" spans="1:9">
      <c r="A15" s="759">
        <v>3</v>
      </c>
      <c r="C15" s="769" t="s">
        <v>1177</v>
      </c>
      <c r="E15" s="770">
        <f>E11-E13</f>
        <v>0.99761053141366096</v>
      </c>
      <c r="G15" s="759">
        <v>3</v>
      </c>
    </row>
    <row r="16" spans="1:9">
      <c r="A16" s="759"/>
      <c r="E16" s="759"/>
      <c r="G16" s="759"/>
    </row>
    <row r="17" spans="1:7">
      <c r="A17" s="759">
        <v>4</v>
      </c>
      <c r="C17" s="760" t="s">
        <v>1178</v>
      </c>
      <c r="E17" s="771">
        <v>0.24808138748950567</v>
      </c>
      <c r="G17" s="759">
        <v>4</v>
      </c>
    </row>
    <row r="18" spans="1:7">
      <c r="A18" s="759"/>
      <c r="C18" s="760" t="s">
        <v>1821</v>
      </c>
      <c r="E18" s="759"/>
      <c r="G18" s="759"/>
    </row>
    <row r="19" spans="1:7">
      <c r="A19" s="759"/>
      <c r="E19" s="759"/>
      <c r="G19" s="759"/>
    </row>
    <row r="20" spans="1:7" ht="10.8" thickBot="1">
      <c r="A20" s="759">
        <v>5</v>
      </c>
      <c r="C20" s="760" t="s">
        <v>1179</v>
      </c>
      <c r="E20" s="772">
        <f>E15-E17</f>
        <v>0.74952914392415526</v>
      </c>
      <c r="G20" s="759">
        <v>5</v>
      </c>
    </row>
    <row r="21" spans="1:7" ht="10.8" thickTop="1">
      <c r="A21" s="759"/>
      <c r="E21" s="759"/>
      <c r="G21" s="759"/>
    </row>
    <row r="22" spans="1:7" ht="10.8" thickBot="1">
      <c r="A22" s="759">
        <v>6</v>
      </c>
      <c r="C22" s="768" t="s">
        <v>813</v>
      </c>
      <c r="E22" s="773">
        <f>E11/E20</f>
        <v>1.3341709366556531</v>
      </c>
      <c r="F22" s="759" t="s">
        <v>804</v>
      </c>
      <c r="G22" s="759">
        <v>6</v>
      </c>
    </row>
    <row r="23" spans="1:7" ht="10.8" thickTop="1">
      <c r="A23" s="759"/>
      <c r="E23" s="765"/>
      <c r="G23" s="759"/>
    </row>
    <row r="24" spans="1:7">
      <c r="A24" s="759"/>
      <c r="G24" s="759"/>
    </row>
    <row r="25" spans="1:7">
      <c r="G25" s="759"/>
    </row>
    <row r="26" spans="1:7">
      <c r="G26" s="759"/>
    </row>
    <row r="27" spans="1:7">
      <c r="C27" s="764" t="s">
        <v>1180</v>
      </c>
      <c r="G27" s="759"/>
    </row>
    <row r="28" spans="1:7">
      <c r="A28" s="759"/>
      <c r="G28" s="759"/>
    </row>
    <row r="29" spans="1:7">
      <c r="A29" s="759"/>
      <c r="G29" s="759"/>
    </row>
    <row r="30" spans="1:7" s="775" customFormat="1">
      <c r="A30" s="774"/>
      <c r="G30" s="774"/>
    </row>
    <row r="31" spans="1:7">
      <c r="A31" s="759"/>
      <c r="G31" s="759"/>
    </row>
    <row r="32" spans="1:7">
      <c r="A32" s="759"/>
      <c r="C32" s="776" t="s">
        <v>826</v>
      </c>
      <c r="D32" s="775"/>
      <c r="E32" s="777" t="s">
        <v>990</v>
      </c>
      <c r="G32" s="759"/>
    </row>
    <row r="33" spans="1:7">
      <c r="A33" s="759"/>
      <c r="C33" s="765" t="s">
        <v>22</v>
      </c>
      <c r="E33" s="762" t="s">
        <v>991</v>
      </c>
      <c r="G33" s="759"/>
    </row>
    <row r="34" spans="1:7">
      <c r="A34" s="759"/>
      <c r="C34" s="765"/>
      <c r="E34" s="762"/>
      <c r="G34" s="759"/>
    </row>
  </sheetData>
  <mergeCells count="3">
    <mergeCell ref="A3:G3"/>
    <mergeCell ref="A4:G4"/>
    <mergeCell ref="A5:G5"/>
  </mergeCells>
  <printOptions horizontalCentered="1"/>
  <pageMargins left="0.7" right="0.7" top="0.75" bottom="0.75" header="0.3" footer="0.3"/>
  <pageSetup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5A26B-58CB-443B-BF86-6E3FCFEDCE63}">
  <sheetPr>
    <pageSetUpPr fitToPage="1"/>
  </sheetPr>
  <dimension ref="A1:M65"/>
  <sheetViews>
    <sheetView showGridLines="0" zoomScaleNormal="100" zoomScaleSheetLayoutView="100" workbookViewId="0"/>
  </sheetViews>
  <sheetFormatPr defaultRowHeight="10.199999999999999"/>
  <cols>
    <col min="1" max="1" width="4.33203125" style="516" customWidth="1"/>
    <col min="2" max="2" width="2.88671875" style="516" customWidth="1"/>
    <col min="3" max="3" width="27.88671875" style="516" customWidth="1"/>
    <col min="4" max="4" width="4.33203125" style="516" customWidth="1"/>
    <col min="5" max="5" width="9.33203125" style="516" customWidth="1"/>
    <col min="6" max="6" width="4.33203125" style="516" customWidth="1"/>
    <col min="7" max="7" width="9.33203125" style="516" customWidth="1"/>
    <col min="8" max="8" width="4.33203125" style="516" customWidth="1"/>
    <col min="9" max="9" width="9.33203125" style="516" customWidth="1"/>
    <col min="10" max="10" width="4.33203125" style="516" customWidth="1"/>
    <col min="11" max="11" width="9.33203125" style="516" customWidth="1"/>
    <col min="12" max="12" width="2.88671875" style="516" customWidth="1"/>
    <col min="13" max="13" width="4.33203125" style="516" customWidth="1"/>
    <col min="14" max="247" width="8.6640625" style="516"/>
    <col min="248" max="248" width="4.33203125" style="516" customWidth="1"/>
    <col min="249" max="249" width="2.88671875" style="516" customWidth="1"/>
    <col min="250" max="250" width="27.88671875" style="516" customWidth="1"/>
    <col min="251" max="251" width="4.33203125" style="516" customWidth="1"/>
    <col min="252" max="252" width="9.33203125" style="516" customWidth="1"/>
    <col min="253" max="253" width="4.33203125" style="516" customWidth="1"/>
    <col min="254" max="254" width="9.33203125" style="516" customWidth="1"/>
    <col min="255" max="255" width="4.33203125" style="516" customWidth="1"/>
    <col min="256" max="256" width="9.33203125" style="516" customWidth="1"/>
    <col min="257" max="257" width="4.33203125" style="516" customWidth="1"/>
    <col min="258" max="258" width="10.109375" style="516" customWidth="1"/>
    <col min="259" max="259" width="2.88671875" style="516" customWidth="1"/>
    <col min="260" max="260" width="4.33203125" style="516" customWidth="1"/>
    <col min="261" max="261" width="2.88671875" style="516" customWidth="1"/>
    <col min="262" max="262" width="27.88671875" style="516" customWidth="1"/>
    <col min="263" max="263" width="16.44140625" style="516" customWidth="1"/>
    <col min="264" max="503" width="8.6640625" style="516"/>
    <col min="504" max="504" width="4.33203125" style="516" customWidth="1"/>
    <col min="505" max="505" width="2.88671875" style="516" customWidth="1"/>
    <col min="506" max="506" width="27.88671875" style="516" customWidth="1"/>
    <col min="507" max="507" width="4.33203125" style="516" customWidth="1"/>
    <col min="508" max="508" width="9.33203125" style="516" customWidth="1"/>
    <col min="509" max="509" width="4.33203125" style="516" customWidth="1"/>
    <col min="510" max="510" width="9.33203125" style="516" customWidth="1"/>
    <col min="511" max="511" width="4.33203125" style="516" customWidth="1"/>
    <col min="512" max="512" width="9.33203125" style="516" customWidth="1"/>
    <col min="513" max="513" width="4.33203125" style="516" customWidth="1"/>
    <col min="514" max="514" width="10.109375" style="516" customWidth="1"/>
    <col min="515" max="515" width="2.88671875" style="516" customWidth="1"/>
    <col min="516" max="516" width="4.33203125" style="516" customWidth="1"/>
    <col min="517" max="517" width="2.88671875" style="516" customWidth="1"/>
    <col min="518" max="518" width="27.88671875" style="516" customWidth="1"/>
    <col min="519" max="519" width="16.44140625" style="516" customWidth="1"/>
    <col min="520" max="759" width="8.6640625" style="516"/>
    <col min="760" max="760" width="4.33203125" style="516" customWidth="1"/>
    <col min="761" max="761" width="2.88671875" style="516" customWidth="1"/>
    <col min="762" max="762" width="27.88671875" style="516" customWidth="1"/>
    <col min="763" max="763" width="4.33203125" style="516" customWidth="1"/>
    <col min="764" max="764" width="9.33203125" style="516" customWidth="1"/>
    <col min="765" max="765" width="4.33203125" style="516" customWidth="1"/>
    <col min="766" max="766" width="9.33203125" style="516" customWidth="1"/>
    <col min="767" max="767" width="4.33203125" style="516" customWidth="1"/>
    <col min="768" max="768" width="9.33203125" style="516" customWidth="1"/>
    <col min="769" max="769" width="4.33203125" style="516" customWidth="1"/>
    <col min="770" max="770" width="10.109375" style="516" customWidth="1"/>
    <col min="771" max="771" width="2.88671875" style="516" customWidth="1"/>
    <col min="772" max="772" width="4.33203125" style="516" customWidth="1"/>
    <col min="773" max="773" width="2.88671875" style="516" customWidth="1"/>
    <col min="774" max="774" width="27.88671875" style="516" customWidth="1"/>
    <col min="775" max="775" width="16.44140625" style="516" customWidth="1"/>
    <col min="776" max="1015" width="8.6640625" style="516"/>
    <col min="1016" max="1016" width="4.33203125" style="516" customWidth="1"/>
    <col min="1017" max="1017" width="2.88671875" style="516" customWidth="1"/>
    <col min="1018" max="1018" width="27.88671875" style="516" customWidth="1"/>
    <col min="1019" max="1019" width="4.33203125" style="516" customWidth="1"/>
    <col min="1020" max="1020" width="9.33203125" style="516" customWidth="1"/>
    <col min="1021" max="1021" width="4.33203125" style="516" customWidth="1"/>
    <col min="1022" max="1022" width="9.33203125" style="516" customWidth="1"/>
    <col min="1023" max="1023" width="4.33203125" style="516" customWidth="1"/>
    <col min="1024" max="1024" width="9.33203125" style="516" customWidth="1"/>
    <col min="1025" max="1025" width="4.33203125" style="516" customWidth="1"/>
    <col min="1026" max="1026" width="10.109375" style="516" customWidth="1"/>
    <col min="1027" max="1027" width="2.88671875" style="516" customWidth="1"/>
    <col min="1028" max="1028" width="4.33203125" style="516" customWidth="1"/>
    <col min="1029" max="1029" width="2.88671875" style="516" customWidth="1"/>
    <col min="1030" max="1030" width="27.88671875" style="516" customWidth="1"/>
    <col min="1031" max="1031" width="16.44140625" style="516" customWidth="1"/>
    <col min="1032" max="1271" width="8.6640625" style="516"/>
    <col min="1272" max="1272" width="4.33203125" style="516" customWidth="1"/>
    <col min="1273" max="1273" width="2.88671875" style="516" customWidth="1"/>
    <col min="1274" max="1274" width="27.88671875" style="516" customWidth="1"/>
    <col min="1275" max="1275" width="4.33203125" style="516" customWidth="1"/>
    <col min="1276" max="1276" width="9.33203125" style="516" customWidth="1"/>
    <col min="1277" max="1277" width="4.33203125" style="516" customWidth="1"/>
    <col min="1278" max="1278" width="9.33203125" style="516" customWidth="1"/>
    <col min="1279" max="1279" width="4.33203125" style="516" customWidth="1"/>
    <col min="1280" max="1280" width="9.33203125" style="516" customWidth="1"/>
    <col min="1281" max="1281" width="4.33203125" style="516" customWidth="1"/>
    <col min="1282" max="1282" width="10.109375" style="516" customWidth="1"/>
    <col min="1283" max="1283" width="2.88671875" style="516" customWidth="1"/>
    <col min="1284" max="1284" width="4.33203125" style="516" customWidth="1"/>
    <col min="1285" max="1285" width="2.88671875" style="516" customWidth="1"/>
    <col min="1286" max="1286" width="27.88671875" style="516" customWidth="1"/>
    <col min="1287" max="1287" width="16.44140625" style="516" customWidth="1"/>
    <col min="1288" max="1527" width="8.6640625" style="516"/>
    <col min="1528" max="1528" width="4.33203125" style="516" customWidth="1"/>
    <col min="1529" max="1529" width="2.88671875" style="516" customWidth="1"/>
    <col min="1530" max="1530" width="27.88671875" style="516" customWidth="1"/>
    <col min="1531" max="1531" width="4.33203125" style="516" customWidth="1"/>
    <col min="1532" max="1532" width="9.33203125" style="516" customWidth="1"/>
    <col min="1533" max="1533" width="4.33203125" style="516" customWidth="1"/>
    <col min="1534" max="1534" width="9.33203125" style="516" customWidth="1"/>
    <col min="1535" max="1535" width="4.33203125" style="516" customWidth="1"/>
    <col min="1536" max="1536" width="9.33203125" style="516" customWidth="1"/>
    <col min="1537" max="1537" width="4.33203125" style="516" customWidth="1"/>
    <col min="1538" max="1538" width="10.109375" style="516" customWidth="1"/>
    <col min="1539" max="1539" width="2.88671875" style="516" customWidth="1"/>
    <col min="1540" max="1540" width="4.33203125" style="516" customWidth="1"/>
    <col min="1541" max="1541" width="2.88671875" style="516" customWidth="1"/>
    <col min="1542" max="1542" width="27.88671875" style="516" customWidth="1"/>
    <col min="1543" max="1543" width="16.44140625" style="516" customWidth="1"/>
    <col min="1544" max="1783" width="8.6640625" style="516"/>
    <col min="1784" max="1784" width="4.33203125" style="516" customWidth="1"/>
    <col min="1785" max="1785" width="2.88671875" style="516" customWidth="1"/>
    <col min="1786" max="1786" width="27.88671875" style="516" customWidth="1"/>
    <col min="1787" max="1787" width="4.33203125" style="516" customWidth="1"/>
    <col min="1788" max="1788" width="9.33203125" style="516" customWidth="1"/>
    <col min="1789" max="1789" width="4.33203125" style="516" customWidth="1"/>
    <col min="1790" max="1790" width="9.33203125" style="516" customWidth="1"/>
    <col min="1791" max="1791" width="4.33203125" style="516" customWidth="1"/>
    <col min="1792" max="1792" width="9.33203125" style="516" customWidth="1"/>
    <col min="1793" max="1793" width="4.33203125" style="516" customWidth="1"/>
    <col min="1794" max="1794" width="10.109375" style="516" customWidth="1"/>
    <col min="1795" max="1795" width="2.88671875" style="516" customWidth="1"/>
    <col min="1796" max="1796" width="4.33203125" style="516" customWidth="1"/>
    <col min="1797" max="1797" width="2.88671875" style="516" customWidth="1"/>
    <col min="1798" max="1798" width="27.88671875" style="516" customWidth="1"/>
    <col min="1799" max="1799" width="16.44140625" style="516" customWidth="1"/>
    <col min="1800" max="2039" width="8.6640625" style="516"/>
    <col min="2040" max="2040" width="4.33203125" style="516" customWidth="1"/>
    <col min="2041" max="2041" width="2.88671875" style="516" customWidth="1"/>
    <col min="2042" max="2042" width="27.88671875" style="516" customWidth="1"/>
    <col min="2043" max="2043" width="4.33203125" style="516" customWidth="1"/>
    <col min="2044" max="2044" width="9.33203125" style="516" customWidth="1"/>
    <col min="2045" max="2045" width="4.33203125" style="516" customWidth="1"/>
    <col min="2046" max="2046" width="9.33203125" style="516" customWidth="1"/>
    <col min="2047" max="2047" width="4.33203125" style="516" customWidth="1"/>
    <col min="2048" max="2048" width="9.33203125" style="516" customWidth="1"/>
    <col min="2049" max="2049" width="4.33203125" style="516" customWidth="1"/>
    <col min="2050" max="2050" width="10.109375" style="516" customWidth="1"/>
    <col min="2051" max="2051" width="2.88671875" style="516" customWidth="1"/>
    <col min="2052" max="2052" width="4.33203125" style="516" customWidth="1"/>
    <col min="2053" max="2053" width="2.88671875" style="516" customWidth="1"/>
    <col min="2054" max="2054" width="27.88671875" style="516" customWidth="1"/>
    <col min="2055" max="2055" width="16.44140625" style="516" customWidth="1"/>
    <col min="2056" max="2295" width="8.6640625" style="516"/>
    <col min="2296" max="2296" width="4.33203125" style="516" customWidth="1"/>
    <col min="2297" max="2297" width="2.88671875" style="516" customWidth="1"/>
    <col min="2298" max="2298" width="27.88671875" style="516" customWidth="1"/>
    <col min="2299" max="2299" width="4.33203125" style="516" customWidth="1"/>
    <col min="2300" max="2300" width="9.33203125" style="516" customWidth="1"/>
    <col min="2301" max="2301" width="4.33203125" style="516" customWidth="1"/>
    <col min="2302" max="2302" width="9.33203125" style="516" customWidth="1"/>
    <col min="2303" max="2303" width="4.33203125" style="516" customWidth="1"/>
    <col min="2304" max="2304" width="9.33203125" style="516" customWidth="1"/>
    <col min="2305" max="2305" width="4.33203125" style="516" customWidth="1"/>
    <col min="2306" max="2306" width="10.109375" style="516" customWidth="1"/>
    <col min="2307" max="2307" width="2.88671875" style="516" customWidth="1"/>
    <col min="2308" max="2308" width="4.33203125" style="516" customWidth="1"/>
    <col min="2309" max="2309" width="2.88671875" style="516" customWidth="1"/>
    <col min="2310" max="2310" width="27.88671875" style="516" customWidth="1"/>
    <col min="2311" max="2311" width="16.44140625" style="516" customWidth="1"/>
    <col min="2312" max="2551" width="8.6640625" style="516"/>
    <col min="2552" max="2552" width="4.33203125" style="516" customWidth="1"/>
    <col min="2553" max="2553" width="2.88671875" style="516" customWidth="1"/>
    <col min="2554" max="2554" width="27.88671875" style="516" customWidth="1"/>
    <col min="2555" max="2555" width="4.33203125" style="516" customWidth="1"/>
    <col min="2556" max="2556" width="9.33203125" style="516" customWidth="1"/>
    <col min="2557" max="2557" width="4.33203125" style="516" customWidth="1"/>
    <col min="2558" max="2558" width="9.33203125" style="516" customWidth="1"/>
    <col min="2559" max="2559" width="4.33203125" style="516" customWidth="1"/>
    <col min="2560" max="2560" width="9.33203125" style="516" customWidth="1"/>
    <col min="2561" max="2561" width="4.33203125" style="516" customWidth="1"/>
    <col min="2562" max="2562" width="10.109375" style="516" customWidth="1"/>
    <col min="2563" max="2563" width="2.88671875" style="516" customWidth="1"/>
    <col min="2564" max="2564" width="4.33203125" style="516" customWidth="1"/>
    <col min="2565" max="2565" width="2.88671875" style="516" customWidth="1"/>
    <col min="2566" max="2566" width="27.88671875" style="516" customWidth="1"/>
    <col min="2567" max="2567" width="16.44140625" style="516" customWidth="1"/>
    <col min="2568" max="2807" width="8.6640625" style="516"/>
    <col min="2808" max="2808" width="4.33203125" style="516" customWidth="1"/>
    <col min="2809" max="2809" width="2.88671875" style="516" customWidth="1"/>
    <col min="2810" max="2810" width="27.88671875" style="516" customWidth="1"/>
    <col min="2811" max="2811" width="4.33203125" style="516" customWidth="1"/>
    <col min="2812" max="2812" width="9.33203125" style="516" customWidth="1"/>
    <col min="2813" max="2813" width="4.33203125" style="516" customWidth="1"/>
    <col min="2814" max="2814" width="9.33203125" style="516" customWidth="1"/>
    <col min="2815" max="2815" width="4.33203125" style="516" customWidth="1"/>
    <col min="2816" max="2816" width="9.33203125" style="516" customWidth="1"/>
    <col min="2817" max="2817" width="4.33203125" style="516" customWidth="1"/>
    <col min="2818" max="2818" width="10.109375" style="516" customWidth="1"/>
    <col min="2819" max="2819" width="2.88671875" style="516" customWidth="1"/>
    <col min="2820" max="2820" width="4.33203125" style="516" customWidth="1"/>
    <col min="2821" max="2821" width="2.88671875" style="516" customWidth="1"/>
    <col min="2822" max="2822" width="27.88671875" style="516" customWidth="1"/>
    <col min="2823" max="2823" width="16.44140625" style="516" customWidth="1"/>
    <col min="2824" max="3063" width="8.6640625" style="516"/>
    <col min="3064" max="3064" width="4.33203125" style="516" customWidth="1"/>
    <col min="3065" max="3065" width="2.88671875" style="516" customWidth="1"/>
    <col min="3066" max="3066" width="27.88671875" style="516" customWidth="1"/>
    <col min="3067" max="3067" width="4.33203125" style="516" customWidth="1"/>
    <col min="3068" max="3068" width="9.33203125" style="516" customWidth="1"/>
    <col min="3069" max="3069" width="4.33203125" style="516" customWidth="1"/>
    <col min="3070" max="3070" width="9.33203125" style="516" customWidth="1"/>
    <col min="3071" max="3071" width="4.33203125" style="516" customWidth="1"/>
    <col min="3072" max="3072" width="9.33203125" style="516" customWidth="1"/>
    <col min="3073" max="3073" width="4.33203125" style="516" customWidth="1"/>
    <col min="3074" max="3074" width="10.109375" style="516" customWidth="1"/>
    <col min="3075" max="3075" width="2.88671875" style="516" customWidth="1"/>
    <col min="3076" max="3076" width="4.33203125" style="516" customWidth="1"/>
    <col min="3077" max="3077" width="2.88671875" style="516" customWidth="1"/>
    <col min="3078" max="3078" width="27.88671875" style="516" customWidth="1"/>
    <col min="3079" max="3079" width="16.44140625" style="516" customWidth="1"/>
    <col min="3080" max="3319" width="8.6640625" style="516"/>
    <col min="3320" max="3320" width="4.33203125" style="516" customWidth="1"/>
    <col min="3321" max="3321" width="2.88671875" style="516" customWidth="1"/>
    <col min="3322" max="3322" width="27.88671875" style="516" customWidth="1"/>
    <col min="3323" max="3323" width="4.33203125" style="516" customWidth="1"/>
    <col min="3324" max="3324" width="9.33203125" style="516" customWidth="1"/>
    <col min="3325" max="3325" width="4.33203125" style="516" customWidth="1"/>
    <col min="3326" max="3326" width="9.33203125" style="516" customWidth="1"/>
    <col min="3327" max="3327" width="4.33203125" style="516" customWidth="1"/>
    <col min="3328" max="3328" width="9.33203125" style="516" customWidth="1"/>
    <col min="3329" max="3329" width="4.33203125" style="516" customWidth="1"/>
    <col min="3330" max="3330" width="10.109375" style="516" customWidth="1"/>
    <col min="3331" max="3331" width="2.88671875" style="516" customWidth="1"/>
    <col min="3332" max="3332" width="4.33203125" style="516" customWidth="1"/>
    <col min="3333" max="3333" width="2.88671875" style="516" customWidth="1"/>
    <col min="3334" max="3334" width="27.88671875" style="516" customWidth="1"/>
    <col min="3335" max="3335" width="16.44140625" style="516" customWidth="1"/>
    <col min="3336" max="3575" width="8.6640625" style="516"/>
    <col min="3576" max="3576" width="4.33203125" style="516" customWidth="1"/>
    <col min="3577" max="3577" width="2.88671875" style="516" customWidth="1"/>
    <col min="3578" max="3578" width="27.88671875" style="516" customWidth="1"/>
    <col min="3579" max="3579" width="4.33203125" style="516" customWidth="1"/>
    <col min="3580" max="3580" width="9.33203125" style="516" customWidth="1"/>
    <col min="3581" max="3581" width="4.33203125" style="516" customWidth="1"/>
    <col min="3582" max="3582" width="9.33203125" style="516" customWidth="1"/>
    <col min="3583" max="3583" width="4.33203125" style="516" customWidth="1"/>
    <col min="3584" max="3584" width="9.33203125" style="516" customWidth="1"/>
    <col min="3585" max="3585" width="4.33203125" style="516" customWidth="1"/>
    <col min="3586" max="3586" width="10.109375" style="516" customWidth="1"/>
    <col min="3587" max="3587" width="2.88671875" style="516" customWidth="1"/>
    <col min="3588" max="3588" width="4.33203125" style="516" customWidth="1"/>
    <col min="3589" max="3589" width="2.88671875" style="516" customWidth="1"/>
    <col min="3590" max="3590" width="27.88671875" style="516" customWidth="1"/>
    <col min="3591" max="3591" width="16.44140625" style="516" customWidth="1"/>
    <col min="3592" max="3831" width="8.6640625" style="516"/>
    <col min="3832" max="3832" width="4.33203125" style="516" customWidth="1"/>
    <col min="3833" max="3833" width="2.88671875" style="516" customWidth="1"/>
    <col min="3834" max="3834" width="27.88671875" style="516" customWidth="1"/>
    <col min="3835" max="3835" width="4.33203125" style="516" customWidth="1"/>
    <col min="3836" max="3836" width="9.33203125" style="516" customWidth="1"/>
    <col min="3837" max="3837" width="4.33203125" style="516" customWidth="1"/>
    <col min="3838" max="3838" width="9.33203125" style="516" customWidth="1"/>
    <col min="3839" max="3839" width="4.33203125" style="516" customWidth="1"/>
    <col min="3840" max="3840" width="9.33203125" style="516" customWidth="1"/>
    <col min="3841" max="3841" width="4.33203125" style="516" customWidth="1"/>
    <col min="3842" max="3842" width="10.109375" style="516" customWidth="1"/>
    <col min="3843" max="3843" width="2.88671875" style="516" customWidth="1"/>
    <col min="3844" max="3844" width="4.33203125" style="516" customWidth="1"/>
    <col min="3845" max="3845" width="2.88671875" style="516" customWidth="1"/>
    <col min="3846" max="3846" width="27.88671875" style="516" customWidth="1"/>
    <col min="3847" max="3847" width="16.44140625" style="516" customWidth="1"/>
    <col min="3848" max="4087" width="8.6640625" style="516"/>
    <col min="4088" max="4088" width="4.33203125" style="516" customWidth="1"/>
    <col min="4089" max="4089" width="2.88671875" style="516" customWidth="1"/>
    <col min="4090" max="4090" width="27.88671875" style="516" customWidth="1"/>
    <col min="4091" max="4091" width="4.33203125" style="516" customWidth="1"/>
    <col min="4092" max="4092" width="9.33203125" style="516" customWidth="1"/>
    <col min="4093" max="4093" width="4.33203125" style="516" customWidth="1"/>
    <col min="4094" max="4094" width="9.33203125" style="516" customWidth="1"/>
    <col min="4095" max="4095" width="4.33203125" style="516" customWidth="1"/>
    <col min="4096" max="4096" width="9.33203125" style="516" customWidth="1"/>
    <col min="4097" max="4097" width="4.33203125" style="516" customWidth="1"/>
    <col min="4098" max="4098" width="10.109375" style="516" customWidth="1"/>
    <col min="4099" max="4099" width="2.88671875" style="516" customWidth="1"/>
    <col min="4100" max="4100" width="4.33203125" style="516" customWidth="1"/>
    <col min="4101" max="4101" width="2.88671875" style="516" customWidth="1"/>
    <col min="4102" max="4102" width="27.88671875" style="516" customWidth="1"/>
    <col min="4103" max="4103" width="16.44140625" style="516" customWidth="1"/>
    <col min="4104" max="4343" width="8.6640625" style="516"/>
    <col min="4344" max="4344" width="4.33203125" style="516" customWidth="1"/>
    <col min="4345" max="4345" width="2.88671875" style="516" customWidth="1"/>
    <col min="4346" max="4346" width="27.88671875" style="516" customWidth="1"/>
    <col min="4347" max="4347" width="4.33203125" style="516" customWidth="1"/>
    <col min="4348" max="4348" width="9.33203125" style="516" customWidth="1"/>
    <col min="4349" max="4349" width="4.33203125" style="516" customWidth="1"/>
    <col min="4350" max="4350" width="9.33203125" style="516" customWidth="1"/>
    <col min="4351" max="4351" width="4.33203125" style="516" customWidth="1"/>
    <col min="4352" max="4352" width="9.33203125" style="516" customWidth="1"/>
    <col min="4353" max="4353" width="4.33203125" style="516" customWidth="1"/>
    <col min="4354" max="4354" width="10.109375" style="516" customWidth="1"/>
    <col min="4355" max="4355" width="2.88671875" style="516" customWidth="1"/>
    <col min="4356" max="4356" width="4.33203125" style="516" customWidth="1"/>
    <col min="4357" max="4357" width="2.88671875" style="516" customWidth="1"/>
    <col min="4358" max="4358" width="27.88671875" style="516" customWidth="1"/>
    <col min="4359" max="4359" width="16.44140625" style="516" customWidth="1"/>
    <col min="4360" max="4599" width="8.6640625" style="516"/>
    <col min="4600" max="4600" width="4.33203125" style="516" customWidth="1"/>
    <col min="4601" max="4601" width="2.88671875" style="516" customWidth="1"/>
    <col min="4602" max="4602" width="27.88671875" style="516" customWidth="1"/>
    <col min="4603" max="4603" width="4.33203125" style="516" customWidth="1"/>
    <col min="4604" max="4604" width="9.33203125" style="516" customWidth="1"/>
    <col min="4605" max="4605" width="4.33203125" style="516" customWidth="1"/>
    <col min="4606" max="4606" width="9.33203125" style="516" customWidth="1"/>
    <col min="4607" max="4607" width="4.33203125" style="516" customWidth="1"/>
    <col min="4608" max="4608" width="9.33203125" style="516" customWidth="1"/>
    <col min="4609" max="4609" width="4.33203125" style="516" customWidth="1"/>
    <col min="4610" max="4610" width="10.109375" style="516" customWidth="1"/>
    <col min="4611" max="4611" width="2.88671875" style="516" customWidth="1"/>
    <col min="4612" max="4612" width="4.33203125" style="516" customWidth="1"/>
    <col min="4613" max="4613" width="2.88671875" style="516" customWidth="1"/>
    <col min="4614" max="4614" width="27.88671875" style="516" customWidth="1"/>
    <col min="4615" max="4615" width="16.44140625" style="516" customWidth="1"/>
    <col min="4616" max="4855" width="8.6640625" style="516"/>
    <col min="4856" max="4856" width="4.33203125" style="516" customWidth="1"/>
    <col min="4857" max="4857" width="2.88671875" style="516" customWidth="1"/>
    <col min="4858" max="4858" width="27.88671875" style="516" customWidth="1"/>
    <col min="4859" max="4859" width="4.33203125" style="516" customWidth="1"/>
    <col min="4860" max="4860" width="9.33203125" style="516" customWidth="1"/>
    <col min="4861" max="4861" width="4.33203125" style="516" customWidth="1"/>
    <col min="4862" max="4862" width="9.33203125" style="516" customWidth="1"/>
    <col min="4863" max="4863" width="4.33203125" style="516" customWidth="1"/>
    <col min="4864" max="4864" width="9.33203125" style="516" customWidth="1"/>
    <col min="4865" max="4865" width="4.33203125" style="516" customWidth="1"/>
    <col min="4866" max="4866" width="10.109375" style="516" customWidth="1"/>
    <col min="4867" max="4867" width="2.88671875" style="516" customWidth="1"/>
    <col min="4868" max="4868" width="4.33203125" style="516" customWidth="1"/>
    <col min="4869" max="4869" width="2.88671875" style="516" customWidth="1"/>
    <col min="4870" max="4870" width="27.88671875" style="516" customWidth="1"/>
    <col min="4871" max="4871" width="16.44140625" style="516" customWidth="1"/>
    <col min="4872" max="5111" width="8.6640625" style="516"/>
    <col min="5112" max="5112" width="4.33203125" style="516" customWidth="1"/>
    <col min="5113" max="5113" width="2.88671875" style="516" customWidth="1"/>
    <col min="5114" max="5114" width="27.88671875" style="516" customWidth="1"/>
    <col min="5115" max="5115" width="4.33203125" style="516" customWidth="1"/>
    <col min="5116" max="5116" width="9.33203125" style="516" customWidth="1"/>
    <col min="5117" max="5117" width="4.33203125" style="516" customWidth="1"/>
    <col min="5118" max="5118" width="9.33203125" style="516" customWidth="1"/>
    <col min="5119" max="5119" width="4.33203125" style="516" customWidth="1"/>
    <col min="5120" max="5120" width="9.33203125" style="516" customWidth="1"/>
    <col min="5121" max="5121" width="4.33203125" style="516" customWidth="1"/>
    <col min="5122" max="5122" width="10.109375" style="516" customWidth="1"/>
    <col min="5123" max="5123" width="2.88671875" style="516" customWidth="1"/>
    <col min="5124" max="5124" width="4.33203125" style="516" customWidth="1"/>
    <col min="5125" max="5125" width="2.88671875" style="516" customWidth="1"/>
    <col min="5126" max="5126" width="27.88671875" style="516" customWidth="1"/>
    <col min="5127" max="5127" width="16.44140625" style="516" customWidth="1"/>
    <col min="5128" max="5367" width="8.6640625" style="516"/>
    <col min="5368" max="5368" width="4.33203125" style="516" customWidth="1"/>
    <col min="5369" max="5369" width="2.88671875" style="516" customWidth="1"/>
    <col min="5370" max="5370" width="27.88671875" style="516" customWidth="1"/>
    <col min="5371" max="5371" width="4.33203125" style="516" customWidth="1"/>
    <col min="5372" max="5372" width="9.33203125" style="516" customWidth="1"/>
    <col min="5373" max="5373" width="4.33203125" style="516" customWidth="1"/>
    <col min="5374" max="5374" width="9.33203125" style="516" customWidth="1"/>
    <col min="5375" max="5375" width="4.33203125" style="516" customWidth="1"/>
    <col min="5376" max="5376" width="9.33203125" style="516" customWidth="1"/>
    <col min="5377" max="5377" width="4.33203125" style="516" customWidth="1"/>
    <col min="5378" max="5378" width="10.109375" style="516" customWidth="1"/>
    <col min="5379" max="5379" width="2.88671875" style="516" customWidth="1"/>
    <col min="5380" max="5380" width="4.33203125" style="516" customWidth="1"/>
    <col min="5381" max="5381" width="2.88671875" style="516" customWidth="1"/>
    <col min="5382" max="5382" width="27.88671875" style="516" customWidth="1"/>
    <col min="5383" max="5383" width="16.44140625" style="516" customWidth="1"/>
    <col min="5384" max="5623" width="8.6640625" style="516"/>
    <col min="5624" max="5624" width="4.33203125" style="516" customWidth="1"/>
    <col min="5625" max="5625" width="2.88671875" style="516" customWidth="1"/>
    <col min="5626" max="5626" width="27.88671875" style="516" customWidth="1"/>
    <col min="5627" max="5627" width="4.33203125" style="516" customWidth="1"/>
    <col min="5628" max="5628" width="9.33203125" style="516" customWidth="1"/>
    <col min="5629" max="5629" width="4.33203125" style="516" customWidth="1"/>
    <col min="5630" max="5630" width="9.33203125" style="516" customWidth="1"/>
    <col min="5631" max="5631" width="4.33203125" style="516" customWidth="1"/>
    <col min="5632" max="5632" width="9.33203125" style="516" customWidth="1"/>
    <col min="5633" max="5633" width="4.33203125" style="516" customWidth="1"/>
    <col min="5634" max="5634" width="10.109375" style="516" customWidth="1"/>
    <col min="5635" max="5635" width="2.88671875" style="516" customWidth="1"/>
    <col min="5636" max="5636" width="4.33203125" style="516" customWidth="1"/>
    <col min="5637" max="5637" width="2.88671875" style="516" customWidth="1"/>
    <col min="5638" max="5638" width="27.88671875" style="516" customWidth="1"/>
    <col min="5639" max="5639" width="16.44140625" style="516" customWidth="1"/>
    <col min="5640" max="5879" width="8.6640625" style="516"/>
    <col min="5880" max="5880" width="4.33203125" style="516" customWidth="1"/>
    <col min="5881" max="5881" width="2.88671875" style="516" customWidth="1"/>
    <col min="5882" max="5882" width="27.88671875" style="516" customWidth="1"/>
    <col min="5883" max="5883" width="4.33203125" style="516" customWidth="1"/>
    <col min="5884" max="5884" width="9.33203125" style="516" customWidth="1"/>
    <col min="5885" max="5885" width="4.33203125" style="516" customWidth="1"/>
    <col min="5886" max="5886" width="9.33203125" style="516" customWidth="1"/>
    <col min="5887" max="5887" width="4.33203125" style="516" customWidth="1"/>
    <col min="5888" max="5888" width="9.33203125" style="516" customWidth="1"/>
    <col min="5889" max="5889" width="4.33203125" style="516" customWidth="1"/>
    <col min="5890" max="5890" width="10.109375" style="516" customWidth="1"/>
    <col min="5891" max="5891" width="2.88671875" style="516" customWidth="1"/>
    <col min="5892" max="5892" width="4.33203125" style="516" customWidth="1"/>
    <col min="5893" max="5893" width="2.88671875" style="516" customWidth="1"/>
    <col min="5894" max="5894" width="27.88671875" style="516" customWidth="1"/>
    <col min="5895" max="5895" width="16.44140625" style="516" customWidth="1"/>
    <col min="5896" max="6135" width="8.6640625" style="516"/>
    <col min="6136" max="6136" width="4.33203125" style="516" customWidth="1"/>
    <col min="6137" max="6137" width="2.88671875" style="516" customWidth="1"/>
    <col min="6138" max="6138" width="27.88671875" style="516" customWidth="1"/>
    <col min="6139" max="6139" width="4.33203125" style="516" customWidth="1"/>
    <col min="6140" max="6140" width="9.33203125" style="516" customWidth="1"/>
    <col min="6141" max="6141" width="4.33203125" style="516" customWidth="1"/>
    <col min="6142" max="6142" width="9.33203125" style="516" customWidth="1"/>
    <col min="6143" max="6143" width="4.33203125" style="516" customWidth="1"/>
    <col min="6144" max="6144" width="9.33203125" style="516" customWidth="1"/>
    <col min="6145" max="6145" width="4.33203125" style="516" customWidth="1"/>
    <col min="6146" max="6146" width="10.109375" style="516" customWidth="1"/>
    <col min="6147" max="6147" width="2.88671875" style="516" customWidth="1"/>
    <col min="6148" max="6148" width="4.33203125" style="516" customWidth="1"/>
    <col min="6149" max="6149" width="2.88671875" style="516" customWidth="1"/>
    <col min="6150" max="6150" width="27.88671875" style="516" customWidth="1"/>
    <col min="6151" max="6151" width="16.44140625" style="516" customWidth="1"/>
    <col min="6152" max="6391" width="8.6640625" style="516"/>
    <col min="6392" max="6392" width="4.33203125" style="516" customWidth="1"/>
    <col min="6393" max="6393" width="2.88671875" style="516" customWidth="1"/>
    <col min="6394" max="6394" width="27.88671875" style="516" customWidth="1"/>
    <col min="6395" max="6395" width="4.33203125" style="516" customWidth="1"/>
    <col min="6396" max="6396" width="9.33203125" style="516" customWidth="1"/>
    <col min="6397" max="6397" width="4.33203125" style="516" customWidth="1"/>
    <col min="6398" max="6398" width="9.33203125" style="516" customWidth="1"/>
    <col min="6399" max="6399" width="4.33203125" style="516" customWidth="1"/>
    <col min="6400" max="6400" width="9.33203125" style="516" customWidth="1"/>
    <col min="6401" max="6401" width="4.33203125" style="516" customWidth="1"/>
    <col min="6402" max="6402" width="10.109375" style="516" customWidth="1"/>
    <col min="6403" max="6403" width="2.88671875" style="516" customWidth="1"/>
    <col min="6404" max="6404" width="4.33203125" style="516" customWidth="1"/>
    <col min="6405" max="6405" width="2.88671875" style="516" customWidth="1"/>
    <col min="6406" max="6406" width="27.88671875" style="516" customWidth="1"/>
    <col min="6407" max="6407" width="16.44140625" style="516" customWidth="1"/>
    <col min="6408" max="6647" width="8.6640625" style="516"/>
    <col min="6648" max="6648" width="4.33203125" style="516" customWidth="1"/>
    <col min="6649" max="6649" width="2.88671875" style="516" customWidth="1"/>
    <col min="6650" max="6650" width="27.88671875" style="516" customWidth="1"/>
    <col min="6651" max="6651" width="4.33203125" style="516" customWidth="1"/>
    <col min="6652" max="6652" width="9.33203125" style="516" customWidth="1"/>
    <col min="6653" max="6653" width="4.33203125" style="516" customWidth="1"/>
    <col min="6654" max="6654" width="9.33203125" style="516" customWidth="1"/>
    <col min="6655" max="6655" width="4.33203125" style="516" customWidth="1"/>
    <col min="6656" max="6656" width="9.33203125" style="516" customWidth="1"/>
    <col min="6657" max="6657" width="4.33203125" style="516" customWidth="1"/>
    <col min="6658" max="6658" width="10.109375" style="516" customWidth="1"/>
    <col min="6659" max="6659" width="2.88671875" style="516" customWidth="1"/>
    <col min="6660" max="6660" width="4.33203125" style="516" customWidth="1"/>
    <col min="6661" max="6661" width="2.88671875" style="516" customWidth="1"/>
    <col min="6662" max="6662" width="27.88671875" style="516" customWidth="1"/>
    <col min="6663" max="6663" width="16.44140625" style="516" customWidth="1"/>
    <col min="6664" max="6903" width="8.6640625" style="516"/>
    <col min="6904" max="6904" width="4.33203125" style="516" customWidth="1"/>
    <col min="6905" max="6905" width="2.88671875" style="516" customWidth="1"/>
    <col min="6906" max="6906" width="27.88671875" style="516" customWidth="1"/>
    <col min="6907" max="6907" width="4.33203125" style="516" customWidth="1"/>
    <col min="6908" max="6908" width="9.33203125" style="516" customWidth="1"/>
    <col min="6909" max="6909" width="4.33203125" style="516" customWidth="1"/>
    <col min="6910" max="6910" width="9.33203125" style="516" customWidth="1"/>
    <col min="6911" max="6911" width="4.33203125" style="516" customWidth="1"/>
    <col min="6912" max="6912" width="9.33203125" style="516" customWidth="1"/>
    <col min="6913" max="6913" width="4.33203125" style="516" customWidth="1"/>
    <col min="6914" max="6914" width="10.109375" style="516" customWidth="1"/>
    <col min="6915" max="6915" width="2.88671875" style="516" customWidth="1"/>
    <col min="6916" max="6916" width="4.33203125" style="516" customWidth="1"/>
    <col min="6917" max="6917" width="2.88671875" style="516" customWidth="1"/>
    <col min="6918" max="6918" width="27.88671875" style="516" customWidth="1"/>
    <col min="6919" max="6919" width="16.44140625" style="516" customWidth="1"/>
    <col min="6920" max="7159" width="8.6640625" style="516"/>
    <col min="7160" max="7160" width="4.33203125" style="516" customWidth="1"/>
    <col min="7161" max="7161" width="2.88671875" style="516" customWidth="1"/>
    <col min="7162" max="7162" width="27.88671875" style="516" customWidth="1"/>
    <col min="7163" max="7163" width="4.33203125" style="516" customWidth="1"/>
    <col min="7164" max="7164" width="9.33203125" style="516" customWidth="1"/>
    <col min="7165" max="7165" width="4.33203125" style="516" customWidth="1"/>
    <col min="7166" max="7166" width="9.33203125" style="516" customWidth="1"/>
    <col min="7167" max="7167" width="4.33203125" style="516" customWidth="1"/>
    <col min="7168" max="7168" width="9.33203125" style="516" customWidth="1"/>
    <col min="7169" max="7169" width="4.33203125" style="516" customWidth="1"/>
    <col min="7170" max="7170" width="10.109375" style="516" customWidth="1"/>
    <col min="7171" max="7171" width="2.88671875" style="516" customWidth="1"/>
    <col min="7172" max="7172" width="4.33203125" style="516" customWidth="1"/>
    <col min="7173" max="7173" width="2.88671875" style="516" customWidth="1"/>
    <col min="7174" max="7174" width="27.88671875" style="516" customWidth="1"/>
    <col min="7175" max="7175" width="16.44140625" style="516" customWidth="1"/>
    <col min="7176" max="7415" width="8.6640625" style="516"/>
    <col min="7416" max="7416" width="4.33203125" style="516" customWidth="1"/>
    <col min="7417" max="7417" width="2.88671875" style="516" customWidth="1"/>
    <col min="7418" max="7418" width="27.88671875" style="516" customWidth="1"/>
    <col min="7419" max="7419" width="4.33203125" style="516" customWidth="1"/>
    <col min="7420" max="7420" width="9.33203125" style="516" customWidth="1"/>
    <col min="7421" max="7421" width="4.33203125" style="516" customWidth="1"/>
    <col min="7422" max="7422" width="9.33203125" style="516" customWidth="1"/>
    <col min="7423" max="7423" width="4.33203125" style="516" customWidth="1"/>
    <col min="7424" max="7424" width="9.33203125" style="516" customWidth="1"/>
    <col min="7425" max="7425" width="4.33203125" style="516" customWidth="1"/>
    <col min="7426" max="7426" width="10.109375" style="516" customWidth="1"/>
    <col min="7427" max="7427" width="2.88671875" style="516" customWidth="1"/>
    <col min="7428" max="7428" width="4.33203125" style="516" customWidth="1"/>
    <col min="7429" max="7429" width="2.88671875" style="516" customWidth="1"/>
    <col min="7430" max="7430" width="27.88671875" style="516" customWidth="1"/>
    <col min="7431" max="7431" width="16.44140625" style="516" customWidth="1"/>
    <col min="7432" max="7671" width="8.6640625" style="516"/>
    <col min="7672" max="7672" width="4.33203125" style="516" customWidth="1"/>
    <col min="7673" max="7673" width="2.88671875" style="516" customWidth="1"/>
    <col min="7674" max="7674" width="27.88671875" style="516" customWidth="1"/>
    <col min="7675" max="7675" width="4.33203125" style="516" customWidth="1"/>
    <col min="7676" max="7676" width="9.33203125" style="516" customWidth="1"/>
    <col min="7677" max="7677" width="4.33203125" style="516" customWidth="1"/>
    <col min="7678" max="7678" width="9.33203125" style="516" customWidth="1"/>
    <col min="7679" max="7679" width="4.33203125" style="516" customWidth="1"/>
    <col min="7680" max="7680" width="9.33203125" style="516" customWidth="1"/>
    <col min="7681" max="7681" width="4.33203125" style="516" customWidth="1"/>
    <col min="7682" max="7682" width="10.109375" style="516" customWidth="1"/>
    <col min="7683" max="7683" width="2.88671875" style="516" customWidth="1"/>
    <col min="7684" max="7684" width="4.33203125" style="516" customWidth="1"/>
    <col min="7685" max="7685" width="2.88671875" style="516" customWidth="1"/>
    <col min="7686" max="7686" width="27.88671875" style="516" customWidth="1"/>
    <col min="7687" max="7687" width="16.44140625" style="516" customWidth="1"/>
    <col min="7688" max="7927" width="8.6640625" style="516"/>
    <col min="7928" max="7928" width="4.33203125" style="516" customWidth="1"/>
    <col min="7929" max="7929" width="2.88671875" style="516" customWidth="1"/>
    <col min="7930" max="7930" width="27.88671875" style="516" customWidth="1"/>
    <col min="7931" max="7931" width="4.33203125" style="516" customWidth="1"/>
    <col min="7932" max="7932" width="9.33203125" style="516" customWidth="1"/>
    <col min="7933" max="7933" width="4.33203125" style="516" customWidth="1"/>
    <col min="7934" max="7934" width="9.33203125" style="516" customWidth="1"/>
    <col min="7935" max="7935" width="4.33203125" style="516" customWidth="1"/>
    <col min="7936" max="7936" width="9.33203125" style="516" customWidth="1"/>
    <col min="7937" max="7937" width="4.33203125" style="516" customWidth="1"/>
    <col min="7938" max="7938" width="10.109375" style="516" customWidth="1"/>
    <col min="7939" max="7939" width="2.88671875" style="516" customWidth="1"/>
    <col min="7940" max="7940" width="4.33203125" style="516" customWidth="1"/>
    <col min="7941" max="7941" width="2.88671875" style="516" customWidth="1"/>
    <col min="7942" max="7942" width="27.88671875" style="516" customWidth="1"/>
    <col min="7943" max="7943" width="16.44140625" style="516" customWidth="1"/>
    <col min="7944" max="8183" width="8.6640625" style="516"/>
    <col min="8184" max="8184" width="4.33203125" style="516" customWidth="1"/>
    <col min="8185" max="8185" width="2.88671875" style="516" customWidth="1"/>
    <col min="8186" max="8186" width="27.88671875" style="516" customWidth="1"/>
    <col min="8187" max="8187" width="4.33203125" style="516" customWidth="1"/>
    <col min="8188" max="8188" width="9.33203125" style="516" customWidth="1"/>
    <col min="8189" max="8189" width="4.33203125" style="516" customWidth="1"/>
    <col min="8190" max="8190" width="9.33203125" style="516" customWidth="1"/>
    <col min="8191" max="8191" width="4.33203125" style="516" customWidth="1"/>
    <col min="8192" max="8192" width="9.33203125" style="516" customWidth="1"/>
    <col min="8193" max="8193" width="4.33203125" style="516" customWidth="1"/>
    <col min="8194" max="8194" width="10.109375" style="516" customWidth="1"/>
    <col min="8195" max="8195" width="2.88671875" style="516" customWidth="1"/>
    <col min="8196" max="8196" width="4.33203125" style="516" customWidth="1"/>
    <col min="8197" max="8197" width="2.88671875" style="516" customWidth="1"/>
    <col min="8198" max="8198" width="27.88671875" style="516" customWidth="1"/>
    <col min="8199" max="8199" width="16.44140625" style="516" customWidth="1"/>
    <col min="8200" max="8439" width="8.6640625" style="516"/>
    <col min="8440" max="8440" width="4.33203125" style="516" customWidth="1"/>
    <col min="8441" max="8441" width="2.88671875" style="516" customWidth="1"/>
    <col min="8442" max="8442" width="27.88671875" style="516" customWidth="1"/>
    <col min="8443" max="8443" width="4.33203125" style="516" customWidth="1"/>
    <col min="8444" max="8444" width="9.33203125" style="516" customWidth="1"/>
    <col min="8445" max="8445" width="4.33203125" style="516" customWidth="1"/>
    <col min="8446" max="8446" width="9.33203125" style="516" customWidth="1"/>
    <col min="8447" max="8447" width="4.33203125" style="516" customWidth="1"/>
    <col min="8448" max="8448" width="9.33203125" style="516" customWidth="1"/>
    <col min="8449" max="8449" width="4.33203125" style="516" customWidth="1"/>
    <col min="8450" max="8450" width="10.109375" style="516" customWidth="1"/>
    <col min="8451" max="8451" width="2.88671875" style="516" customWidth="1"/>
    <col min="8452" max="8452" width="4.33203125" style="516" customWidth="1"/>
    <col min="8453" max="8453" width="2.88671875" style="516" customWidth="1"/>
    <col min="8454" max="8454" width="27.88671875" style="516" customWidth="1"/>
    <col min="8455" max="8455" width="16.44140625" style="516" customWidth="1"/>
    <col min="8456" max="8695" width="8.6640625" style="516"/>
    <col min="8696" max="8696" width="4.33203125" style="516" customWidth="1"/>
    <col min="8697" max="8697" width="2.88671875" style="516" customWidth="1"/>
    <col min="8698" max="8698" width="27.88671875" style="516" customWidth="1"/>
    <col min="8699" max="8699" width="4.33203125" style="516" customWidth="1"/>
    <col min="8700" max="8700" width="9.33203125" style="516" customWidth="1"/>
    <col min="8701" max="8701" width="4.33203125" style="516" customWidth="1"/>
    <col min="8702" max="8702" width="9.33203125" style="516" customWidth="1"/>
    <col min="8703" max="8703" width="4.33203125" style="516" customWidth="1"/>
    <col min="8704" max="8704" width="9.33203125" style="516" customWidth="1"/>
    <col min="8705" max="8705" width="4.33203125" style="516" customWidth="1"/>
    <col min="8706" max="8706" width="10.109375" style="516" customWidth="1"/>
    <col min="8707" max="8707" width="2.88671875" style="516" customWidth="1"/>
    <col min="8708" max="8708" width="4.33203125" style="516" customWidth="1"/>
    <col min="8709" max="8709" width="2.88671875" style="516" customWidth="1"/>
    <col min="8710" max="8710" width="27.88671875" style="516" customWidth="1"/>
    <col min="8711" max="8711" width="16.44140625" style="516" customWidth="1"/>
    <col min="8712" max="8951" width="8.6640625" style="516"/>
    <col min="8952" max="8952" width="4.33203125" style="516" customWidth="1"/>
    <col min="8953" max="8953" width="2.88671875" style="516" customWidth="1"/>
    <col min="8954" max="8954" width="27.88671875" style="516" customWidth="1"/>
    <col min="8955" max="8955" width="4.33203125" style="516" customWidth="1"/>
    <col min="8956" max="8956" width="9.33203125" style="516" customWidth="1"/>
    <col min="8957" max="8957" width="4.33203125" style="516" customWidth="1"/>
    <col min="8958" max="8958" width="9.33203125" style="516" customWidth="1"/>
    <col min="8959" max="8959" width="4.33203125" style="516" customWidth="1"/>
    <col min="8960" max="8960" width="9.33203125" style="516" customWidth="1"/>
    <col min="8961" max="8961" width="4.33203125" style="516" customWidth="1"/>
    <col min="8962" max="8962" width="10.109375" style="516" customWidth="1"/>
    <col min="8963" max="8963" width="2.88671875" style="516" customWidth="1"/>
    <col min="8964" max="8964" width="4.33203125" style="516" customWidth="1"/>
    <col min="8965" max="8965" width="2.88671875" style="516" customWidth="1"/>
    <col min="8966" max="8966" width="27.88671875" style="516" customWidth="1"/>
    <col min="8967" max="8967" width="16.44140625" style="516" customWidth="1"/>
    <col min="8968" max="9207" width="8.6640625" style="516"/>
    <col min="9208" max="9208" width="4.33203125" style="516" customWidth="1"/>
    <col min="9209" max="9209" width="2.88671875" style="516" customWidth="1"/>
    <col min="9210" max="9210" width="27.88671875" style="516" customWidth="1"/>
    <col min="9211" max="9211" width="4.33203125" style="516" customWidth="1"/>
    <col min="9212" max="9212" width="9.33203125" style="516" customWidth="1"/>
    <col min="9213" max="9213" width="4.33203125" style="516" customWidth="1"/>
    <col min="9214" max="9214" width="9.33203125" style="516" customWidth="1"/>
    <col min="9215" max="9215" width="4.33203125" style="516" customWidth="1"/>
    <col min="9216" max="9216" width="9.33203125" style="516" customWidth="1"/>
    <col min="9217" max="9217" width="4.33203125" style="516" customWidth="1"/>
    <col min="9218" max="9218" width="10.109375" style="516" customWidth="1"/>
    <col min="9219" max="9219" width="2.88671875" style="516" customWidth="1"/>
    <col min="9220" max="9220" width="4.33203125" style="516" customWidth="1"/>
    <col min="9221" max="9221" width="2.88671875" style="516" customWidth="1"/>
    <col min="9222" max="9222" width="27.88671875" style="516" customWidth="1"/>
    <col min="9223" max="9223" width="16.44140625" style="516" customWidth="1"/>
    <col min="9224" max="9463" width="8.6640625" style="516"/>
    <col min="9464" max="9464" width="4.33203125" style="516" customWidth="1"/>
    <col min="9465" max="9465" width="2.88671875" style="516" customWidth="1"/>
    <col min="9466" max="9466" width="27.88671875" style="516" customWidth="1"/>
    <col min="9467" max="9467" width="4.33203125" style="516" customWidth="1"/>
    <col min="9468" max="9468" width="9.33203125" style="516" customWidth="1"/>
    <col min="9469" max="9469" width="4.33203125" style="516" customWidth="1"/>
    <col min="9470" max="9470" width="9.33203125" style="516" customWidth="1"/>
    <col min="9471" max="9471" width="4.33203125" style="516" customWidth="1"/>
    <col min="9472" max="9472" width="9.33203125" style="516" customWidth="1"/>
    <col min="9473" max="9473" width="4.33203125" style="516" customWidth="1"/>
    <col min="9474" max="9474" width="10.109375" style="516" customWidth="1"/>
    <col min="9475" max="9475" width="2.88671875" style="516" customWidth="1"/>
    <col min="9476" max="9476" width="4.33203125" style="516" customWidth="1"/>
    <col min="9477" max="9477" width="2.88671875" style="516" customWidth="1"/>
    <col min="9478" max="9478" width="27.88671875" style="516" customWidth="1"/>
    <col min="9479" max="9479" width="16.44140625" style="516" customWidth="1"/>
    <col min="9480" max="9719" width="8.6640625" style="516"/>
    <col min="9720" max="9720" width="4.33203125" style="516" customWidth="1"/>
    <col min="9721" max="9721" width="2.88671875" style="516" customWidth="1"/>
    <col min="9722" max="9722" width="27.88671875" style="516" customWidth="1"/>
    <col min="9723" max="9723" width="4.33203125" style="516" customWidth="1"/>
    <col min="9724" max="9724" width="9.33203125" style="516" customWidth="1"/>
    <col min="9725" max="9725" width="4.33203125" style="516" customWidth="1"/>
    <col min="9726" max="9726" width="9.33203125" style="516" customWidth="1"/>
    <col min="9727" max="9727" width="4.33203125" style="516" customWidth="1"/>
    <col min="9728" max="9728" width="9.33203125" style="516" customWidth="1"/>
    <col min="9729" max="9729" width="4.33203125" style="516" customWidth="1"/>
    <col min="9730" max="9730" width="10.109375" style="516" customWidth="1"/>
    <col min="9731" max="9731" width="2.88671875" style="516" customWidth="1"/>
    <col min="9732" max="9732" width="4.33203125" style="516" customWidth="1"/>
    <col min="9733" max="9733" width="2.88671875" style="516" customWidth="1"/>
    <col min="9734" max="9734" width="27.88671875" style="516" customWidth="1"/>
    <col min="9735" max="9735" width="16.44140625" style="516" customWidth="1"/>
    <col min="9736" max="9975" width="8.6640625" style="516"/>
    <col min="9976" max="9976" width="4.33203125" style="516" customWidth="1"/>
    <col min="9977" max="9977" width="2.88671875" style="516" customWidth="1"/>
    <col min="9978" max="9978" width="27.88671875" style="516" customWidth="1"/>
    <col min="9979" max="9979" width="4.33203125" style="516" customWidth="1"/>
    <col min="9980" max="9980" width="9.33203125" style="516" customWidth="1"/>
    <col min="9981" max="9981" width="4.33203125" style="516" customWidth="1"/>
    <col min="9982" max="9982" width="9.33203125" style="516" customWidth="1"/>
    <col min="9983" max="9983" width="4.33203125" style="516" customWidth="1"/>
    <col min="9984" max="9984" width="9.33203125" style="516" customWidth="1"/>
    <col min="9985" max="9985" width="4.33203125" style="516" customWidth="1"/>
    <col min="9986" max="9986" width="10.109375" style="516" customWidth="1"/>
    <col min="9987" max="9987" width="2.88671875" style="516" customWidth="1"/>
    <col min="9988" max="9988" width="4.33203125" style="516" customWidth="1"/>
    <col min="9989" max="9989" width="2.88671875" style="516" customWidth="1"/>
    <col min="9990" max="9990" width="27.88671875" style="516" customWidth="1"/>
    <col min="9991" max="9991" width="16.44140625" style="516" customWidth="1"/>
    <col min="9992" max="10231" width="8.6640625" style="516"/>
    <col min="10232" max="10232" width="4.33203125" style="516" customWidth="1"/>
    <col min="10233" max="10233" width="2.88671875" style="516" customWidth="1"/>
    <col min="10234" max="10234" width="27.88671875" style="516" customWidth="1"/>
    <col min="10235" max="10235" width="4.33203125" style="516" customWidth="1"/>
    <col min="10236" max="10236" width="9.33203125" style="516" customWidth="1"/>
    <col min="10237" max="10237" width="4.33203125" style="516" customWidth="1"/>
    <col min="10238" max="10238" width="9.33203125" style="516" customWidth="1"/>
    <col min="10239" max="10239" width="4.33203125" style="516" customWidth="1"/>
    <col min="10240" max="10240" width="9.33203125" style="516" customWidth="1"/>
    <col min="10241" max="10241" width="4.33203125" style="516" customWidth="1"/>
    <col min="10242" max="10242" width="10.109375" style="516" customWidth="1"/>
    <col min="10243" max="10243" width="2.88671875" style="516" customWidth="1"/>
    <col min="10244" max="10244" width="4.33203125" style="516" customWidth="1"/>
    <col min="10245" max="10245" width="2.88671875" style="516" customWidth="1"/>
    <col min="10246" max="10246" width="27.88671875" style="516" customWidth="1"/>
    <col min="10247" max="10247" width="16.44140625" style="516" customWidth="1"/>
    <col min="10248" max="10487" width="8.6640625" style="516"/>
    <col min="10488" max="10488" width="4.33203125" style="516" customWidth="1"/>
    <col min="10489" max="10489" width="2.88671875" style="516" customWidth="1"/>
    <col min="10490" max="10490" width="27.88671875" style="516" customWidth="1"/>
    <col min="10491" max="10491" width="4.33203125" style="516" customWidth="1"/>
    <col min="10492" max="10492" width="9.33203125" style="516" customWidth="1"/>
    <col min="10493" max="10493" width="4.33203125" style="516" customWidth="1"/>
    <col min="10494" max="10494" width="9.33203125" style="516" customWidth="1"/>
    <col min="10495" max="10495" width="4.33203125" style="516" customWidth="1"/>
    <col min="10496" max="10496" width="9.33203125" style="516" customWidth="1"/>
    <col min="10497" max="10497" width="4.33203125" style="516" customWidth="1"/>
    <col min="10498" max="10498" width="10.109375" style="516" customWidth="1"/>
    <col min="10499" max="10499" width="2.88671875" style="516" customWidth="1"/>
    <col min="10500" max="10500" width="4.33203125" style="516" customWidth="1"/>
    <col min="10501" max="10501" width="2.88671875" style="516" customWidth="1"/>
    <col min="10502" max="10502" width="27.88671875" style="516" customWidth="1"/>
    <col min="10503" max="10503" width="16.44140625" style="516" customWidth="1"/>
    <col min="10504" max="10743" width="8.6640625" style="516"/>
    <col min="10744" max="10744" width="4.33203125" style="516" customWidth="1"/>
    <col min="10745" max="10745" width="2.88671875" style="516" customWidth="1"/>
    <col min="10746" max="10746" width="27.88671875" style="516" customWidth="1"/>
    <col min="10747" max="10747" width="4.33203125" style="516" customWidth="1"/>
    <col min="10748" max="10748" width="9.33203125" style="516" customWidth="1"/>
    <col min="10749" max="10749" width="4.33203125" style="516" customWidth="1"/>
    <col min="10750" max="10750" width="9.33203125" style="516" customWidth="1"/>
    <col min="10751" max="10751" width="4.33203125" style="516" customWidth="1"/>
    <col min="10752" max="10752" width="9.33203125" style="516" customWidth="1"/>
    <col min="10753" max="10753" width="4.33203125" style="516" customWidth="1"/>
    <col min="10754" max="10754" width="10.109375" style="516" customWidth="1"/>
    <col min="10755" max="10755" width="2.88671875" style="516" customWidth="1"/>
    <col min="10756" max="10756" width="4.33203125" style="516" customWidth="1"/>
    <col min="10757" max="10757" width="2.88671875" style="516" customWidth="1"/>
    <col min="10758" max="10758" width="27.88671875" style="516" customWidth="1"/>
    <col min="10759" max="10759" width="16.44140625" style="516" customWidth="1"/>
    <col min="10760" max="10999" width="8.6640625" style="516"/>
    <col min="11000" max="11000" width="4.33203125" style="516" customWidth="1"/>
    <col min="11001" max="11001" width="2.88671875" style="516" customWidth="1"/>
    <col min="11002" max="11002" width="27.88671875" style="516" customWidth="1"/>
    <col min="11003" max="11003" width="4.33203125" style="516" customWidth="1"/>
    <col min="11004" max="11004" width="9.33203125" style="516" customWidth="1"/>
    <col min="11005" max="11005" width="4.33203125" style="516" customWidth="1"/>
    <col min="11006" max="11006" width="9.33203125" style="516" customWidth="1"/>
    <col min="11007" max="11007" width="4.33203125" style="516" customWidth="1"/>
    <col min="11008" max="11008" width="9.33203125" style="516" customWidth="1"/>
    <col min="11009" max="11009" width="4.33203125" style="516" customWidth="1"/>
    <col min="11010" max="11010" width="10.109375" style="516" customWidth="1"/>
    <col min="11011" max="11011" width="2.88671875" style="516" customWidth="1"/>
    <col min="11012" max="11012" width="4.33203125" style="516" customWidth="1"/>
    <col min="11013" max="11013" width="2.88671875" style="516" customWidth="1"/>
    <col min="11014" max="11014" width="27.88671875" style="516" customWidth="1"/>
    <col min="11015" max="11015" width="16.44140625" style="516" customWidth="1"/>
    <col min="11016" max="11255" width="8.6640625" style="516"/>
    <col min="11256" max="11256" width="4.33203125" style="516" customWidth="1"/>
    <col min="11257" max="11257" width="2.88671875" style="516" customWidth="1"/>
    <col min="11258" max="11258" width="27.88671875" style="516" customWidth="1"/>
    <col min="11259" max="11259" width="4.33203125" style="516" customWidth="1"/>
    <col min="11260" max="11260" width="9.33203125" style="516" customWidth="1"/>
    <col min="11261" max="11261" width="4.33203125" style="516" customWidth="1"/>
    <col min="11262" max="11262" width="9.33203125" style="516" customWidth="1"/>
    <col min="11263" max="11263" width="4.33203125" style="516" customWidth="1"/>
    <col min="11264" max="11264" width="9.33203125" style="516" customWidth="1"/>
    <col min="11265" max="11265" width="4.33203125" style="516" customWidth="1"/>
    <col min="11266" max="11266" width="10.109375" style="516" customWidth="1"/>
    <col min="11267" max="11267" width="2.88671875" style="516" customWidth="1"/>
    <col min="11268" max="11268" width="4.33203125" style="516" customWidth="1"/>
    <col min="11269" max="11269" width="2.88671875" style="516" customWidth="1"/>
    <col min="11270" max="11270" width="27.88671875" style="516" customWidth="1"/>
    <col min="11271" max="11271" width="16.44140625" style="516" customWidth="1"/>
    <col min="11272" max="11511" width="8.6640625" style="516"/>
    <col min="11512" max="11512" width="4.33203125" style="516" customWidth="1"/>
    <col min="11513" max="11513" width="2.88671875" style="516" customWidth="1"/>
    <col min="11514" max="11514" width="27.88671875" style="516" customWidth="1"/>
    <col min="11515" max="11515" width="4.33203125" style="516" customWidth="1"/>
    <col min="11516" max="11516" width="9.33203125" style="516" customWidth="1"/>
    <col min="11517" max="11517" width="4.33203125" style="516" customWidth="1"/>
    <col min="11518" max="11518" width="9.33203125" style="516" customWidth="1"/>
    <col min="11519" max="11519" width="4.33203125" style="516" customWidth="1"/>
    <col min="11520" max="11520" width="9.33203125" style="516" customWidth="1"/>
    <col min="11521" max="11521" width="4.33203125" style="516" customWidth="1"/>
    <col min="11522" max="11522" width="10.109375" style="516" customWidth="1"/>
    <col min="11523" max="11523" width="2.88671875" style="516" customWidth="1"/>
    <col min="11524" max="11524" width="4.33203125" style="516" customWidth="1"/>
    <col min="11525" max="11525" width="2.88671875" style="516" customWidth="1"/>
    <col min="11526" max="11526" width="27.88671875" style="516" customWidth="1"/>
    <col min="11527" max="11527" width="16.44140625" style="516" customWidth="1"/>
    <col min="11528" max="11767" width="8.6640625" style="516"/>
    <col min="11768" max="11768" width="4.33203125" style="516" customWidth="1"/>
    <col min="11769" max="11769" width="2.88671875" style="516" customWidth="1"/>
    <col min="11770" max="11770" width="27.88671875" style="516" customWidth="1"/>
    <col min="11771" max="11771" width="4.33203125" style="516" customWidth="1"/>
    <col min="11772" max="11772" width="9.33203125" style="516" customWidth="1"/>
    <col min="11773" max="11773" width="4.33203125" style="516" customWidth="1"/>
    <col min="11774" max="11774" width="9.33203125" style="516" customWidth="1"/>
    <col min="11775" max="11775" width="4.33203125" style="516" customWidth="1"/>
    <col min="11776" max="11776" width="9.33203125" style="516" customWidth="1"/>
    <col min="11777" max="11777" width="4.33203125" style="516" customWidth="1"/>
    <col min="11778" max="11778" width="10.109375" style="516" customWidth="1"/>
    <col min="11779" max="11779" width="2.88671875" style="516" customWidth="1"/>
    <col min="11780" max="11780" width="4.33203125" style="516" customWidth="1"/>
    <col min="11781" max="11781" width="2.88671875" style="516" customWidth="1"/>
    <col min="11782" max="11782" width="27.88671875" style="516" customWidth="1"/>
    <col min="11783" max="11783" width="16.44140625" style="516" customWidth="1"/>
    <col min="11784" max="12023" width="8.6640625" style="516"/>
    <col min="12024" max="12024" width="4.33203125" style="516" customWidth="1"/>
    <col min="12025" max="12025" width="2.88671875" style="516" customWidth="1"/>
    <col min="12026" max="12026" width="27.88671875" style="516" customWidth="1"/>
    <col min="12027" max="12027" width="4.33203125" style="516" customWidth="1"/>
    <col min="12028" max="12028" width="9.33203125" style="516" customWidth="1"/>
    <col min="12029" max="12029" width="4.33203125" style="516" customWidth="1"/>
    <col min="12030" max="12030" width="9.33203125" style="516" customWidth="1"/>
    <col min="12031" max="12031" width="4.33203125" style="516" customWidth="1"/>
    <col min="12032" max="12032" width="9.33203125" style="516" customWidth="1"/>
    <col min="12033" max="12033" width="4.33203125" style="516" customWidth="1"/>
    <col min="12034" max="12034" width="10.109375" style="516" customWidth="1"/>
    <col min="12035" max="12035" width="2.88671875" style="516" customWidth="1"/>
    <col min="12036" max="12036" width="4.33203125" style="516" customWidth="1"/>
    <col min="12037" max="12037" width="2.88671875" style="516" customWidth="1"/>
    <col min="12038" max="12038" width="27.88671875" style="516" customWidth="1"/>
    <col min="12039" max="12039" width="16.44140625" style="516" customWidth="1"/>
    <col min="12040" max="12279" width="8.6640625" style="516"/>
    <col min="12280" max="12280" width="4.33203125" style="516" customWidth="1"/>
    <col min="12281" max="12281" width="2.88671875" style="516" customWidth="1"/>
    <col min="12282" max="12282" width="27.88671875" style="516" customWidth="1"/>
    <col min="12283" max="12283" width="4.33203125" style="516" customWidth="1"/>
    <col min="12284" max="12284" width="9.33203125" style="516" customWidth="1"/>
    <col min="12285" max="12285" width="4.33203125" style="516" customWidth="1"/>
    <col min="12286" max="12286" width="9.33203125" style="516" customWidth="1"/>
    <col min="12287" max="12287" width="4.33203125" style="516" customWidth="1"/>
    <col min="12288" max="12288" width="9.33203125" style="516" customWidth="1"/>
    <col min="12289" max="12289" width="4.33203125" style="516" customWidth="1"/>
    <col min="12290" max="12290" width="10.109375" style="516" customWidth="1"/>
    <col min="12291" max="12291" width="2.88671875" style="516" customWidth="1"/>
    <col min="12292" max="12292" width="4.33203125" style="516" customWidth="1"/>
    <col min="12293" max="12293" width="2.88671875" style="516" customWidth="1"/>
    <col min="12294" max="12294" width="27.88671875" style="516" customWidth="1"/>
    <col min="12295" max="12295" width="16.44140625" style="516" customWidth="1"/>
    <col min="12296" max="12535" width="8.6640625" style="516"/>
    <col min="12536" max="12536" width="4.33203125" style="516" customWidth="1"/>
    <col min="12537" max="12537" width="2.88671875" style="516" customWidth="1"/>
    <col min="12538" max="12538" width="27.88671875" style="516" customWidth="1"/>
    <col min="12539" max="12539" width="4.33203125" style="516" customWidth="1"/>
    <col min="12540" max="12540" width="9.33203125" style="516" customWidth="1"/>
    <col min="12541" max="12541" width="4.33203125" style="516" customWidth="1"/>
    <col min="12542" max="12542" width="9.33203125" style="516" customWidth="1"/>
    <col min="12543" max="12543" width="4.33203125" style="516" customWidth="1"/>
    <col min="12544" max="12544" width="9.33203125" style="516" customWidth="1"/>
    <col min="12545" max="12545" width="4.33203125" style="516" customWidth="1"/>
    <col min="12546" max="12546" width="10.109375" style="516" customWidth="1"/>
    <col min="12547" max="12547" width="2.88671875" style="516" customWidth="1"/>
    <col min="12548" max="12548" width="4.33203125" style="516" customWidth="1"/>
    <col min="12549" max="12549" width="2.88671875" style="516" customWidth="1"/>
    <col min="12550" max="12550" width="27.88671875" style="516" customWidth="1"/>
    <col min="12551" max="12551" width="16.44140625" style="516" customWidth="1"/>
    <col min="12552" max="12791" width="8.6640625" style="516"/>
    <col min="12792" max="12792" width="4.33203125" style="516" customWidth="1"/>
    <col min="12793" max="12793" width="2.88671875" style="516" customWidth="1"/>
    <col min="12794" max="12794" width="27.88671875" style="516" customWidth="1"/>
    <col min="12795" max="12795" width="4.33203125" style="516" customWidth="1"/>
    <col min="12796" max="12796" width="9.33203125" style="516" customWidth="1"/>
    <col min="12797" max="12797" width="4.33203125" style="516" customWidth="1"/>
    <col min="12798" max="12798" width="9.33203125" style="516" customWidth="1"/>
    <col min="12799" max="12799" width="4.33203125" style="516" customWidth="1"/>
    <col min="12800" max="12800" width="9.33203125" style="516" customWidth="1"/>
    <col min="12801" max="12801" width="4.33203125" style="516" customWidth="1"/>
    <col min="12802" max="12802" width="10.109375" style="516" customWidth="1"/>
    <col min="12803" max="12803" width="2.88671875" style="516" customWidth="1"/>
    <col min="12804" max="12804" width="4.33203125" style="516" customWidth="1"/>
    <col min="12805" max="12805" width="2.88671875" style="516" customWidth="1"/>
    <col min="12806" max="12806" width="27.88671875" style="516" customWidth="1"/>
    <col min="12807" max="12807" width="16.44140625" style="516" customWidth="1"/>
    <col min="12808" max="13047" width="8.6640625" style="516"/>
    <col min="13048" max="13048" width="4.33203125" style="516" customWidth="1"/>
    <col min="13049" max="13049" width="2.88671875" style="516" customWidth="1"/>
    <col min="13050" max="13050" width="27.88671875" style="516" customWidth="1"/>
    <col min="13051" max="13051" width="4.33203125" style="516" customWidth="1"/>
    <col min="13052" max="13052" width="9.33203125" style="516" customWidth="1"/>
    <col min="13053" max="13053" width="4.33203125" style="516" customWidth="1"/>
    <col min="13054" max="13054" width="9.33203125" style="516" customWidth="1"/>
    <col min="13055" max="13055" width="4.33203125" style="516" customWidth="1"/>
    <col min="13056" max="13056" width="9.33203125" style="516" customWidth="1"/>
    <col min="13057" max="13057" width="4.33203125" style="516" customWidth="1"/>
    <col min="13058" max="13058" width="10.109375" style="516" customWidth="1"/>
    <col min="13059" max="13059" width="2.88671875" style="516" customWidth="1"/>
    <col min="13060" max="13060" width="4.33203125" style="516" customWidth="1"/>
    <col min="13061" max="13061" width="2.88671875" style="516" customWidth="1"/>
    <col min="13062" max="13062" width="27.88671875" style="516" customWidth="1"/>
    <col min="13063" max="13063" width="16.44140625" style="516" customWidth="1"/>
    <col min="13064" max="13303" width="8.6640625" style="516"/>
    <col min="13304" max="13304" width="4.33203125" style="516" customWidth="1"/>
    <col min="13305" max="13305" width="2.88671875" style="516" customWidth="1"/>
    <col min="13306" max="13306" width="27.88671875" style="516" customWidth="1"/>
    <col min="13307" max="13307" width="4.33203125" style="516" customWidth="1"/>
    <col min="13308" max="13308" width="9.33203125" style="516" customWidth="1"/>
    <col min="13309" max="13309" width="4.33203125" style="516" customWidth="1"/>
    <col min="13310" max="13310" width="9.33203125" style="516" customWidth="1"/>
    <col min="13311" max="13311" width="4.33203125" style="516" customWidth="1"/>
    <col min="13312" max="13312" width="9.33203125" style="516" customWidth="1"/>
    <col min="13313" max="13313" width="4.33203125" style="516" customWidth="1"/>
    <col min="13314" max="13314" width="10.109375" style="516" customWidth="1"/>
    <col min="13315" max="13315" width="2.88671875" style="516" customWidth="1"/>
    <col min="13316" max="13316" width="4.33203125" style="516" customWidth="1"/>
    <col min="13317" max="13317" width="2.88671875" style="516" customWidth="1"/>
    <col min="13318" max="13318" width="27.88671875" style="516" customWidth="1"/>
    <col min="13319" max="13319" width="16.44140625" style="516" customWidth="1"/>
    <col min="13320" max="13559" width="8.6640625" style="516"/>
    <col min="13560" max="13560" width="4.33203125" style="516" customWidth="1"/>
    <col min="13561" max="13561" width="2.88671875" style="516" customWidth="1"/>
    <col min="13562" max="13562" width="27.88671875" style="516" customWidth="1"/>
    <col min="13563" max="13563" width="4.33203125" style="516" customWidth="1"/>
    <col min="13564" max="13564" width="9.33203125" style="516" customWidth="1"/>
    <col min="13565" max="13565" width="4.33203125" style="516" customWidth="1"/>
    <col min="13566" max="13566" width="9.33203125" style="516" customWidth="1"/>
    <col min="13567" max="13567" width="4.33203125" style="516" customWidth="1"/>
    <col min="13568" max="13568" width="9.33203125" style="516" customWidth="1"/>
    <col min="13569" max="13569" width="4.33203125" style="516" customWidth="1"/>
    <col min="13570" max="13570" width="10.109375" style="516" customWidth="1"/>
    <col min="13571" max="13571" width="2.88671875" style="516" customWidth="1"/>
    <col min="13572" max="13572" width="4.33203125" style="516" customWidth="1"/>
    <col min="13573" max="13573" width="2.88671875" style="516" customWidth="1"/>
    <col min="13574" max="13574" width="27.88671875" style="516" customWidth="1"/>
    <col min="13575" max="13575" width="16.44140625" style="516" customWidth="1"/>
    <col min="13576" max="13815" width="8.6640625" style="516"/>
    <col min="13816" max="13816" width="4.33203125" style="516" customWidth="1"/>
    <col min="13817" max="13817" width="2.88671875" style="516" customWidth="1"/>
    <col min="13818" max="13818" width="27.88671875" style="516" customWidth="1"/>
    <col min="13819" max="13819" width="4.33203125" style="516" customWidth="1"/>
    <col min="13820" max="13820" width="9.33203125" style="516" customWidth="1"/>
    <col min="13821" max="13821" width="4.33203125" style="516" customWidth="1"/>
    <col min="13822" max="13822" width="9.33203125" style="516" customWidth="1"/>
    <col min="13823" max="13823" width="4.33203125" style="516" customWidth="1"/>
    <col min="13824" max="13824" width="9.33203125" style="516" customWidth="1"/>
    <col min="13825" max="13825" width="4.33203125" style="516" customWidth="1"/>
    <col min="13826" max="13826" width="10.109375" style="516" customWidth="1"/>
    <col min="13827" max="13827" width="2.88671875" style="516" customWidth="1"/>
    <col min="13828" max="13828" width="4.33203125" style="516" customWidth="1"/>
    <col min="13829" max="13829" width="2.88671875" style="516" customWidth="1"/>
    <col min="13830" max="13830" width="27.88671875" style="516" customWidth="1"/>
    <col min="13831" max="13831" width="16.44140625" style="516" customWidth="1"/>
    <col min="13832" max="14071" width="8.6640625" style="516"/>
    <col min="14072" max="14072" width="4.33203125" style="516" customWidth="1"/>
    <col min="14073" max="14073" width="2.88671875" style="516" customWidth="1"/>
    <col min="14074" max="14074" width="27.88671875" style="516" customWidth="1"/>
    <col min="14075" max="14075" width="4.33203125" style="516" customWidth="1"/>
    <col min="14076" max="14076" width="9.33203125" style="516" customWidth="1"/>
    <col min="14077" max="14077" width="4.33203125" style="516" customWidth="1"/>
    <col min="14078" max="14078" width="9.33203125" style="516" customWidth="1"/>
    <col min="14079" max="14079" width="4.33203125" style="516" customWidth="1"/>
    <col min="14080" max="14080" width="9.33203125" style="516" customWidth="1"/>
    <col min="14081" max="14081" width="4.33203125" style="516" customWidth="1"/>
    <col min="14082" max="14082" width="10.109375" style="516" customWidth="1"/>
    <col min="14083" max="14083" width="2.88671875" style="516" customWidth="1"/>
    <col min="14084" max="14084" width="4.33203125" style="516" customWidth="1"/>
    <col min="14085" max="14085" width="2.88671875" style="516" customWidth="1"/>
    <col min="14086" max="14086" width="27.88671875" style="516" customWidth="1"/>
    <col min="14087" max="14087" width="16.44140625" style="516" customWidth="1"/>
    <col min="14088" max="14327" width="8.6640625" style="516"/>
    <col min="14328" max="14328" width="4.33203125" style="516" customWidth="1"/>
    <col min="14329" max="14329" width="2.88671875" style="516" customWidth="1"/>
    <col min="14330" max="14330" width="27.88671875" style="516" customWidth="1"/>
    <col min="14331" max="14331" width="4.33203125" style="516" customWidth="1"/>
    <col min="14332" max="14332" width="9.33203125" style="516" customWidth="1"/>
    <col min="14333" max="14333" width="4.33203125" style="516" customWidth="1"/>
    <col min="14334" max="14334" width="9.33203125" style="516" customWidth="1"/>
    <col min="14335" max="14335" width="4.33203125" style="516" customWidth="1"/>
    <col min="14336" max="14336" width="9.33203125" style="516" customWidth="1"/>
    <col min="14337" max="14337" width="4.33203125" style="516" customWidth="1"/>
    <col min="14338" max="14338" width="10.109375" style="516" customWidth="1"/>
    <col min="14339" max="14339" width="2.88671875" style="516" customWidth="1"/>
    <col min="14340" max="14340" width="4.33203125" style="516" customWidth="1"/>
    <col min="14341" max="14341" width="2.88671875" style="516" customWidth="1"/>
    <col min="14342" max="14342" width="27.88671875" style="516" customWidth="1"/>
    <col min="14343" max="14343" width="16.44140625" style="516" customWidth="1"/>
    <col min="14344" max="14583" width="8.6640625" style="516"/>
    <col min="14584" max="14584" width="4.33203125" style="516" customWidth="1"/>
    <col min="14585" max="14585" width="2.88671875" style="516" customWidth="1"/>
    <col min="14586" max="14586" width="27.88671875" style="516" customWidth="1"/>
    <col min="14587" max="14587" width="4.33203125" style="516" customWidth="1"/>
    <col min="14588" max="14588" width="9.33203125" style="516" customWidth="1"/>
    <col min="14589" max="14589" width="4.33203125" style="516" customWidth="1"/>
    <col min="14590" max="14590" width="9.33203125" style="516" customWidth="1"/>
    <col min="14591" max="14591" width="4.33203125" style="516" customWidth="1"/>
    <col min="14592" max="14592" width="9.33203125" style="516" customWidth="1"/>
    <col min="14593" max="14593" width="4.33203125" style="516" customWidth="1"/>
    <col min="14594" max="14594" width="10.109375" style="516" customWidth="1"/>
    <col min="14595" max="14595" width="2.88671875" style="516" customWidth="1"/>
    <col min="14596" max="14596" width="4.33203125" style="516" customWidth="1"/>
    <col min="14597" max="14597" width="2.88671875" style="516" customWidth="1"/>
    <col min="14598" max="14598" width="27.88671875" style="516" customWidth="1"/>
    <col min="14599" max="14599" width="16.44140625" style="516" customWidth="1"/>
    <col min="14600" max="14839" width="8.6640625" style="516"/>
    <col min="14840" max="14840" width="4.33203125" style="516" customWidth="1"/>
    <col min="14841" max="14841" width="2.88671875" style="516" customWidth="1"/>
    <col min="14842" max="14842" width="27.88671875" style="516" customWidth="1"/>
    <col min="14843" max="14843" width="4.33203125" style="516" customWidth="1"/>
    <col min="14844" max="14844" width="9.33203125" style="516" customWidth="1"/>
    <col min="14845" max="14845" width="4.33203125" style="516" customWidth="1"/>
    <col min="14846" max="14846" width="9.33203125" style="516" customWidth="1"/>
    <col min="14847" max="14847" width="4.33203125" style="516" customWidth="1"/>
    <col min="14848" max="14848" width="9.33203125" style="516" customWidth="1"/>
    <col min="14849" max="14849" width="4.33203125" style="516" customWidth="1"/>
    <col min="14850" max="14850" width="10.109375" style="516" customWidth="1"/>
    <col min="14851" max="14851" width="2.88671875" style="516" customWidth="1"/>
    <col min="14852" max="14852" width="4.33203125" style="516" customWidth="1"/>
    <col min="14853" max="14853" width="2.88671875" style="516" customWidth="1"/>
    <col min="14854" max="14854" width="27.88671875" style="516" customWidth="1"/>
    <col min="14855" max="14855" width="16.44140625" style="516" customWidth="1"/>
    <col min="14856" max="15095" width="8.6640625" style="516"/>
    <col min="15096" max="15096" width="4.33203125" style="516" customWidth="1"/>
    <col min="15097" max="15097" width="2.88671875" style="516" customWidth="1"/>
    <col min="15098" max="15098" width="27.88671875" style="516" customWidth="1"/>
    <col min="15099" max="15099" width="4.33203125" style="516" customWidth="1"/>
    <col min="15100" max="15100" width="9.33203125" style="516" customWidth="1"/>
    <col min="15101" max="15101" width="4.33203125" style="516" customWidth="1"/>
    <col min="15102" max="15102" width="9.33203125" style="516" customWidth="1"/>
    <col min="15103" max="15103" width="4.33203125" style="516" customWidth="1"/>
    <col min="15104" max="15104" width="9.33203125" style="516" customWidth="1"/>
    <col min="15105" max="15105" width="4.33203125" style="516" customWidth="1"/>
    <col min="15106" max="15106" width="10.109375" style="516" customWidth="1"/>
    <col min="15107" max="15107" width="2.88671875" style="516" customWidth="1"/>
    <col min="15108" max="15108" width="4.33203125" style="516" customWidth="1"/>
    <col min="15109" max="15109" width="2.88671875" style="516" customWidth="1"/>
    <col min="15110" max="15110" width="27.88671875" style="516" customWidth="1"/>
    <col min="15111" max="15111" width="16.44140625" style="516" customWidth="1"/>
    <col min="15112" max="15351" width="8.6640625" style="516"/>
    <col min="15352" max="15352" width="4.33203125" style="516" customWidth="1"/>
    <col min="15353" max="15353" width="2.88671875" style="516" customWidth="1"/>
    <col min="15354" max="15354" width="27.88671875" style="516" customWidth="1"/>
    <col min="15355" max="15355" width="4.33203125" style="516" customWidth="1"/>
    <col min="15356" max="15356" width="9.33203125" style="516" customWidth="1"/>
    <col min="15357" max="15357" width="4.33203125" style="516" customWidth="1"/>
    <col min="15358" max="15358" width="9.33203125" style="516" customWidth="1"/>
    <col min="15359" max="15359" width="4.33203125" style="516" customWidth="1"/>
    <col min="15360" max="15360" width="9.33203125" style="516" customWidth="1"/>
    <col min="15361" max="15361" width="4.33203125" style="516" customWidth="1"/>
    <col min="15362" max="15362" width="10.109375" style="516" customWidth="1"/>
    <col min="15363" max="15363" width="2.88671875" style="516" customWidth="1"/>
    <col min="15364" max="15364" width="4.33203125" style="516" customWidth="1"/>
    <col min="15365" max="15365" width="2.88671875" style="516" customWidth="1"/>
    <col min="15366" max="15366" width="27.88671875" style="516" customWidth="1"/>
    <col min="15367" max="15367" width="16.44140625" style="516" customWidth="1"/>
    <col min="15368" max="15607" width="8.6640625" style="516"/>
    <col min="15608" max="15608" width="4.33203125" style="516" customWidth="1"/>
    <col min="15609" max="15609" width="2.88671875" style="516" customWidth="1"/>
    <col min="15610" max="15610" width="27.88671875" style="516" customWidth="1"/>
    <col min="15611" max="15611" width="4.33203125" style="516" customWidth="1"/>
    <col min="15612" max="15612" width="9.33203125" style="516" customWidth="1"/>
    <col min="15613" max="15613" width="4.33203125" style="516" customWidth="1"/>
    <col min="15614" max="15614" width="9.33203125" style="516" customWidth="1"/>
    <col min="15615" max="15615" width="4.33203125" style="516" customWidth="1"/>
    <col min="15616" max="15616" width="9.33203125" style="516" customWidth="1"/>
    <col min="15617" max="15617" width="4.33203125" style="516" customWidth="1"/>
    <col min="15618" max="15618" width="10.109375" style="516" customWidth="1"/>
    <col min="15619" max="15619" width="2.88671875" style="516" customWidth="1"/>
    <col min="15620" max="15620" width="4.33203125" style="516" customWidth="1"/>
    <col min="15621" max="15621" width="2.88671875" style="516" customWidth="1"/>
    <col min="15622" max="15622" width="27.88671875" style="516" customWidth="1"/>
    <col min="15623" max="15623" width="16.44140625" style="516" customWidth="1"/>
    <col min="15624" max="15863" width="8.6640625" style="516"/>
    <col min="15864" max="15864" width="4.33203125" style="516" customWidth="1"/>
    <col min="15865" max="15865" width="2.88671875" style="516" customWidth="1"/>
    <col min="15866" max="15866" width="27.88671875" style="516" customWidth="1"/>
    <col min="15867" max="15867" width="4.33203125" style="516" customWidth="1"/>
    <col min="15868" max="15868" width="9.33203125" style="516" customWidth="1"/>
    <col min="15869" max="15869" width="4.33203125" style="516" customWidth="1"/>
    <col min="15870" max="15870" width="9.33203125" style="516" customWidth="1"/>
    <col min="15871" max="15871" width="4.33203125" style="516" customWidth="1"/>
    <col min="15872" max="15872" width="9.33203125" style="516" customWidth="1"/>
    <col min="15873" max="15873" width="4.33203125" style="516" customWidth="1"/>
    <col min="15874" max="15874" width="10.109375" style="516" customWidth="1"/>
    <col min="15875" max="15875" width="2.88671875" style="516" customWidth="1"/>
    <col min="15876" max="15876" width="4.33203125" style="516" customWidth="1"/>
    <col min="15877" max="15877" width="2.88671875" style="516" customWidth="1"/>
    <col min="15878" max="15878" width="27.88671875" style="516" customWidth="1"/>
    <col min="15879" max="15879" width="16.44140625" style="516" customWidth="1"/>
    <col min="15880" max="16119" width="8.6640625" style="516"/>
    <col min="16120" max="16120" width="4.33203125" style="516" customWidth="1"/>
    <col min="16121" max="16121" width="2.88671875" style="516" customWidth="1"/>
    <col min="16122" max="16122" width="27.88671875" style="516" customWidth="1"/>
    <col min="16123" max="16123" width="4.33203125" style="516" customWidth="1"/>
    <col min="16124" max="16124" width="9.33203125" style="516" customWidth="1"/>
    <col min="16125" max="16125" width="4.33203125" style="516" customWidth="1"/>
    <col min="16126" max="16126" width="9.33203125" style="516" customWidth="1"/>
    <col min="16127" max="16127" width="4.33203125" style="516" customWidth="1"/>
    <col min="16128" max="16128" width="9.33203125" style="516" customWidth="1"/>
    <col min="16129" max="16129" width="4.33203125" style="516" customWidth="1"/>
    <col min="16130" max="16130" width="10.109375" style="516" customWidth="1"/>
    <col min="16131" max="16131" width="2.88671875" style="516" customWidth="1"/>
    <col min="16132" max="16132" width="4.33203125" style="516" customWidth="1"/>
    <col min="16133" max="16133" width="2.88671875" style="516" customWidth="1"/>
    <col min="16134" max="16134" width="27.88671875" style="516" customWidth="1"/>
    <col min="16135" max="16135" width="16.44140625" style="516" customWidth="1"/>
    <col min="16136" max="16375" width="8.6640625" style="516"/>
    <col min="16376" max="16384" width="8.6640625" style="516" customWidth="1"/>
  </cols>
  <sheetData>
    <row r="1" spans="1:1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485" t="s">
        <v>1181</v>
      </c>
    </row>
    <row r="2" spans="1:13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485" t="s">
        <v>1033</v>
      </c>
    </row>
    <row r="3" spans="1:13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  <c r="L3" s="1166"/>
      <c r="M3" s="1166"/>
    </row>
    <row r="4" spans="1:13">
      <c r="A4" s="1166" t="s">
        <v>1182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  <c r="L4" s="1166"/>
      <c r="M4" s="1166"/>
    </row>
    <row r="5" spans="1:13">
      <c r="A5" s="1166" t="s">
        <v>1427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</row>
    <row r="6" spans="1:13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  <c r="L6" s="1166"/>
      <c r="M6" s="1166"/>
    </row>
    <row r="7" spans="1:13">
      <c r="A7" s="486"/>
      <c r="B7" s="486"/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</row>
    <row r="8" spans="1:13">
      <c r="A8" s="156"/>
      <c r="B8" s="156"/>
      <c r="C8" s="156"/>
      <c r="D8" s="156"/>
      <c r="E8" s="486"/>
      <c r="F8" s="486"/>
      <c r="G8" s="486"/>
      <c r="H8" s="156"/>
      <c r="I8" s="156"/>
      <c r="J8" s="156"/>
      <c r="K8" s="156"/>
      <c r="L8" s="156"/>
      <c r="M8" s="156"/>
    </row>
    <row r="9" spans="1:13">
      <c r="A9" s="156"/>
      <c r="B9" s="156"/>
      <c r="C9" s="156"/>
      <c r="D9" s="156"/>
      <c r="E9" s="1184" t="s">
        <v>894</v>
      </c>
      <c r="F9" s="1184"/>
      <c r="G9" s="1184"/>
      <c r="H9" s="156"/>
      <c r="I9" s="156"/>
      <c r="J9" s="156"/>
      <c r="K9" s="156"/>
      <c r="L9" s="156"/>
      <c r="M9" s="156"/>
    </row>
    <row r="10" spans="1:13" s="524" customFormat="1" ht="30.6">
      <c r="A10" s="158" t="s">
        <v>800</v>
      </c>
      <c r="B10" s="159"/>
      <c r="C10" s="1128" t="s">
        <v>1183</v>
      </c>
      <c r="D10" s="159"/>
      <c r="E10" s="158" t="s">
        <v>690</v>
      </c>
      <c r="F10" s="159"/>
      <c r="G10" s="158" t="s">
        <v>1038</v>
      </c>
      <c r="H10" s="159"/>
      <c r="I10" s="158" t="s">
        <v>700</v>
      </c>
      <c r="J10" s="159"/>
      <c r="K10" s="158" t="s">
        <v>1184</v>
      </c>
      <c r="L10" s="159"/>
      <c r="M10" s="158" t="s">
        <v>800</v>
      </c>
    </row>
    <row r="11" spans="1:13">
      <c r="A11" s="156"/>
      <c r="B11" s="156"/>
      <c r="C11" s="156"/>
      <c r="D11" s="156"/>
      <c r="E11" s="160"/>
      <c r="F11" s="160"/>
      <c r="G11" s="160"/>
      <c r="H11" s="160"/>
      <c r="I11" s="160"/>
      <c r="J11" s="160"/>
      <c r="K11" s="160"/>
      <c r="L11" s="156"/>
      <c r="M11" s="156"/>
    </row>
    <row r="12" spans="1:13">
      <c r="A12" s="156"/>
      <c r="B12" s="156"/>
      <c r="C12" s="161" t="s">
        <v>1185</v>
      </c>
      <c r="D12" s="156"/>
      <c r="E12" s="156"/>
      <c r="F12" s="156"/>
      <c r="G12" s="156"/>
      <c r="H12" s="156"/>
      <c r="I12" s="156"/>
      <c r="J12" s="156"/>
      <c r="K12" s="156"/>
      <c r="L12" s="156"/>
      <c r="M12" s="156"/>
    </row>
    <row r="13" spans="1:13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</row>
    <row r="14" spans="1:13" ht="11.25" customHeight="1">
      <c r="A14" s="160">
        <v>1</v>
      </c>
      <c r="B14" s="156"/>
      <c r="C14" s="156" t="s">
        <v>149</v>
      </c>
      <c r="D14" s="485" t="s">
        <v>804</v>
      </c>
      <c r="E14" s="501">
        <v>124133.541</v>
      </c>
      <c r="F14"/>
      <c r="G14" s="493">
        <f>ROUND(E14/E$16,4)</f>
        <v>0.44450000000000001</v>
      </c>
      <c r="H14" s="485" t="s">
        <v>804</v>
      </c>
      <c r="I14" s="493">
        <f>'D2 P1'!I34</f>
        <v>5.1248727368536112E-2</v>
      </c>
      <c r="J14" s="156"/>
      <c r="K14" s="493">
        <f>ROUND(G14*I14,4)</f>
        <v>2.2800000000000001E-2</v>
      </c>
      <c r="L14" s="156"/>
      <c r="M14" s="160">
        <f>+A14</f>
        <v>1</v>
      </c>
    </row>
    <row r="15" spans="1:13">
      <c r="A15" s="160">
        <f>+A14+1</f>
        <v>2</v>
      </c>
      <c r="B15" s="156"/>
      <c r="C15" s="156" t="s">
        <v>1186</v>
      </c>
      <c r="D15" s="485" t="s">
        <v>806</v>
      </c>
      <c r="E15" s="501">
        <v>155109</v>
      </c>
      <c r="F15" s="156"/>
      <c r="G15" s="493">
        <f>ROUND(E15/E$16,4)</f>
        <v>0.55549999999999999</v>
      </c>
      <c r="H15" s="485" t="s">
        <v>810</v>
      </c>
      <c r="I15" s="493">
        <f>'D1 P2'!I15</f>
        <v>0.10249999999999999</v>
      </c>
      <c r="J15" s="489"/>
      <c r="K15" s="493">
        <f>ROUND(G15*I15,4)</f>
        <v>5.6899999999999999E-2</v>
      </c>
      <c r="L15" s="156"/>
      <c r="M15" s="160">
        <f>+A15</f>
        <v>2</v>
      </c>
    </row>
    <row r="16" spans="1:13" ht="10.8" thickBot="1">
      <c r="A16" s="160">
        <f>+A15+1</f>
        <v>3</v>
      </c>
      <c r="B16" s="156"/>
      <c r="C16" s="156" t="s">
        <v>1187</v>
      </c>
      <c r="D16" s="160"/>
      <c r="E16" s="1015">
        <f>SUM(E14:E15)</f>
        <v>279242.54099999997</v>
      </c>
      <c r="F16" s="156"/>
      <c r="G16" s="1016">
        <f>SUM(G14:G15)</f>
        <v>1</v>
      </c>
      <c r="H16" s="156"/>
      <c r="I16" s="156"/>
      <c r="J16" s="156"/>
      <c r="K16" s="1016">
        <f>SUM(K14:K15)</f>
        <v>7.9699999999999993E-2</v>
      </c>
      <c r="L16" s="156"/>
      <c r="M16" s="160">
        <f>+A16</f>
        <v>3</v>
      </c>
    </row>
    <row r="17" spans="1:13" ht="10.8" thickTop="1">
      <c r="A17" s="160"/>
      <c r="B17" s="156"/>
      <c r="C17" s="156"/>
      <c r="D17" s="160"/>
      <c r="E17" s="500"/>
      <c r="F17" s="156"/>
      <c r="G17" s="727"/>
      <c r="H17" s="156"/>
      <c r="I17" s="156"/>
      <c r="J17" s="156"/>
      <c r="K17" s="727"/>
      <c r="L17" s="156"/>
      <c r="M17" s="160"/>
    </row>
    <row r="18" spans="1:13">
      <c r="A18" s="160"/>
      <c r="B18" s="156"/>
      <c r="C18" s="156"/>
      <c r="D18" s="160"/>
      <c r="E18" s="500"/>
      <c r="F18" s="156"/>
      <c r="G18" s="727"/>
      <c r="H18" s="156"/>
      <c r="I18" s="156"/>
      <c r="J18" s="156"/>
      <c r="K18" s="727"/>
      <c r="L18" s="156"/>
      <c r="M18" s="160"/>
    </row>
    <row r="19" spans="1:13">
      <c r="A19" s="160"/>
      <c r="B19" s="156"/>
      <c r="C19" s="156"/>
      <c r="D19" s="160"/>
      <c r="E19" s="500"/>
      <c r="F19" s="156"/>
      <c r="G19" s="727"/>
      <c r="H19" s="156"/>
      <c r="I19" s="156"/>
      <c r="J19" s="156"/>
      <c r="K19" s="727"/>
      <c r="L19" s="156"/>
      <c r="M19" s="160"/>
    </row>
    <row r="20" spans="1:13">
      <c r="A20" s="160"/>
      <c r="B20" s="156"/>
      <c r="C20" s="161" t="s">
        <v>1188</v>
      </c>
      <c r="D20" s="160"/>
      <c r="E20" s="156"/>
      <c r="F20" s="156"/>
      <c r="G20" s="156"/>
      <c r="H20" s="156"/>
      <c r="I20" s="156"/>
      <c r="J20" s="156"/>
      <c r="K20" s="156"/>
      <c r="L20" s="156"/>
      <c r="M20" s="160"/>
    </row>
    <row r="21" spans="1:13">
      <c r="A21" s="160"/>
      <c r="B21" s="156"/>
      <c r="C21" s="156"/>
      <c r="D21" s="160"/>
      <c r="E21" s="156"/>
      <c r="F21" s="156"/>
      <c r="G21" s="156"/>
      <c r="H21" s="156"/>
      <c r="I21" s="156"/>
      <c r="J21" s="156"/>
      <c r="K21" s="156"/>
      <c r="L21" s="156"/>
      <c r="M21" s="160"/>
    </row>
    <row r="22" spans="1:13">
      <c r="A22" s="160">
        <f>+A16+1</f>
        <v>4</v>
      </c>
      <c r="B22" s="156"/>
      <c r="C22" s="156" t="s">
        <v>149</v>
      </c>
      <c r="D22" s="485" t="s">
        <v>804</v>
      </c>
      <c r="E22" s="501">
        <f>E14</f>
        <v>124133.541</v>
      </c>
      <c r="F22" s="156"/>
      <c r="G22" s="493">
        <f>ROUND(E22/E$24,4)</f>
        <v>0.44450000000000001</v>
      </c>
      <c r="H22" s="485" t="s">
        <v>804</v>
      </c>
      <c r="I22" s="493">
        <f>'D2 P1'!O34</f>
        <v>5.1471269960791662E-2</v>
      </c>
      <c r="J22" s="156"/>
      <c r="K22" s="493">
        <f>G22*I22</f>
        <v>2.2878979497571894E-2</v>
      </c>
      <c r="L22" s="156"/>
      <c r="M22" s="160">
        <f>+A22</f>
        <v>4</v>
      </c>
    </row>
    <row r="23" spans="1:13">
      <c r="A23" s="160">
        <f>+A22+1</f>
        <v>5</v>
      </c>
      <c r="B23" s="156"/>
      <c r="C23" s="156" t="s">
        <v>1186</v>
      </c>
      <c r="D23" s="485" t="s">
        <v>806</v>
      </c>
      <c r="E23" s="501">
        <f>E15</f>
        <v>155109</v>
      </c>
      <c r="F23" s="156"/>
      <c r="G23" s="493">
        <f>ROUND(E23/E$24,4)</f>
        <v>0.55549999999999999</v>
      </c>
      <c r="H23" s="485" t="s">
        <v>810</v>
      </c>
      <c r="I23" s="493">
        <f>I15</f>
        <v>0.10249999999999999</v>
      </c>
      <c r="J23" s="156"/>
      <c r="K23" s="493">
        <f>G23*I23-0.0000021</f>
        <v>5.6936649999999998E-2</v>
      </c>
      <c r="L23" s="156"/>
      <c r="M23" s="160">
        <f>+A23</f>
        <v>5</v>
      </c>
    </row>
    <row r="24" spans="1:13" ht="10.8" thickBot="1">
      <c r="A24" s="160">
        <f>+A23+1</f>
        <v>6</v>
      </c>
      <c r="B24" s="156"/>
      <c r="C24" s="156" t="s">
        <v>1187</v>
      </c>
      <c r="D24" s="160"/>
      <c r="E24" s="1015">
        <f>SUM(E22:E23)</f>
        <v>279242.54099999997</v>
      </c>
      <c r="F24" s="156"/>
      <c r="G24" s="1016">
        <f>SUM(G22:G23)</f>
        <v>1</v>
      </c>
      <c r="H24" s="156"/>
      <c r="I24" s="156"/>
      <c r="J24" s="156"/>
      <c r="K24" s="1016">
        <v>7.9830499999999999E-2</v>
      </c>
      <c r="L24" s="156"/>
      <c r="M24" s="160">
        <f>+A24</f>
        <v>6</v>
      </c>
    </row>
    <row r="25" spans="1:13" ht="10.8" thickTop="1">
      <c r="A25" s="160"/>
      <c r="B25" s="156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60"/>
    </row>
    <row r="26" spans="1:13">
      <c r="A26" s="160"/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60"/>
    </row>
    <row r="27" spans="1:13">
      <c r="A27" s="160"/>
      <c r="B27" s="156"/>
      <c r="C27" s="156"/>
      <c r="D27" s="778"/>
      <c r="E27" s="779"/>
      <c r="F27" s="778"/>
      <c r="G27" s="780"/>
      <c r="H27" s="778"/>
      <c r="I27" s="778"/>
      <c r="J27" s="156"/>
      <c r="K27" s="727"/>
      <c r="L27" s="156"/>
      <c r="M27" s="160"/>
    </row>
    <row r="28" spans="1:13">
      <c r="A28" s="156"/>
      <c r="B28" s="156"/>
      <c r="C28" s="512"/>
      <c r="D28" s="512" t="s">
        <v>826</v>
      </c>
      <c r="E28" s="694"/>
      <c r="F28" s="694"/>
      <c r="G28" s="156"/>
      <c r="H28" s="694" t="s">
        <v>990</v>
      </c>
      <c r="I28" s="156"/>
      <c r="J28" s="156"/>
      <c r="K28" s="156"/>
      <c r="L28" s="156"/>
      <c r="M28" s="156"/>
    </row>
    <row r="29" spans="1:13">
      <c r="A29" s="156"/>
      <c r="B29" s="156"/>
      <c r="C29" s="160"/>
      <c r="D29" s="160" t="s">
        <v>1189</v>
      </c>
      <c r="E29" s="486"/>
      <c r="F29" s="486"/>
      <c r="G29" s="156"/>
      <c r="H29" s="486" t="s">
        <v>1190</v>
      </c>
      <c r="I29" s="156"/>
      <c r="J29" s="156"/>
      <c r="K29" s="156"/>
      <c r="L29" s="156"/>
      <c r="M29" s="156"/>
    </row>
    <row r="30" spans="1:13">
      <c r="A30" s="156"/>
      <c r="B30" s="156"/>
      <c r="C30" s="781"/>
      <c r="D30" s="160" t="s">
        <v>1191</v>
      </c>
      <c r="E30" s="779"/>
      <c r="F30" s="779"/>
      <c r="G30" s="156"/>
      <c r="H30" s="779"/>
      <c r="I30" s="156"/>
      <c r="J30" s="156"/>
      <c r="K30" s="779"/>
      <c r="L30" s="156"/>
      <c r="M30" s="156"/>
    </row>
    <row r="31" spans="1:13">
      <c r="A31" s="156"/>
      <c r="B31" s="156"/>
      <c r="C31" s="156"/>
      <c r="D31" s="160" t="s">
        <v>1192</v>
      </c>
      <c r="E31" s="156"/>
      <c r="F31" s="156"/>
      <c r="G31" s="156"/>
      <c r="H31" s="156"/>
      <c r="I31" s="156"/>
      <c r="J31" s="156"/>
      <c r="K31" s="156"/>
      <c r="L31" s="156"/>
      <c r="M31" s="156"/>
    </row>
    <row r="35" spans="1:7">
      <c r="A35" s="513" t="s">
        <v>1193</v>
      </c>
      <c r="B35" s="156"/>
      <c r="C35" s="156"/>
      <c r="D35" s="156"/>
      <c r="E35" s="156"/>
      <c r="F35" s="513"/>
      <c r="G35" s="156"/>
    </row>
    <row r="36" spans="1:7">
      <c r="A36" s="513"/>
      <c r="B36" s="156"/>
      <c r="C36" s="156"/>
      <c r="D36" s="156"/>
      <c r="E36" s="156"/>
      <c r="F36" s="513"/>
      <c r="G36" s="156"/>
    </row>
    <row r="37" spans="1:7">
      <c r="A37" s="513"/>
      <c r="B37" s="1197" t="s">
        <v>1194</v>
      </c>
      <c r="C37" s="1197"/>
      <c r="D37" s="1197"/>
      <c r="E37" s="1197"/>
      <c r="F37" s="1197"/>
      <c r="G37" s="1197"/>
    </row>
    <row r="38" spans="1:7">
      <c r="A38" s="513"/>
      <c r="B38" s="1197" t="s">
        <v>1195</v>
      </c>
      <c r="C38" s="1197"/>
      <c r="D38" s="1197"/>
      <c r="E38" s="1197"/>
      <c r="F38" s="1197"/>
      <c r="G38" s="1197"/>
    </row>
    <row r="39" spans="1:7">
      <c r="A39" s="513"/>
      <c r="B39" s="1197" t="s">
        <v>1196</v>
      </c>
      <c r="C39" s="1197"/>
      <c r="D39" s="1197"/>
      <c r="E39" s="1197"/>
      <c r="F39" s="1197"/>
      <c r="G39" s="1197"/>
    </row>
    <row r="40" spans="1:7">
      <c r="A40" s="513"/>
      <c r="B40" s="1197" t="s">
        <v>1197</v>
      </c>
      <c r="C40" s="1197"/>
      <c r="D40" s="1197"/>
      <c r="E40" s="1197"/>
      <c r="F40" s="1197"/>
      <c r="G40" s="1197"/>
    </row>
    <row r="41" spans="1:7">
      <c r="A41" s="513"/>
      <c r="B41" s="1197" t="s">
        <v>1198</v>
      </c>
      <c r="C41" s="1197"/>
      <c r="D41" s="1197"/>
      <c r="E41" s="1197"/>
      <c r="F41" s="1197"/>
      <c r="G41" s="1197"/>
    </row>
    <row r="42" spans="1:7">
      <c r="A42" s="513"/>
      <c r="B42" s="156"/>
      <c r="C42" s="156"/>
      <c r="D42" s="156"/>
      <c r="E42" s="156"/>
      <c r="F42" s="156"/>
      <c r="G42" s="156"/>
    </row>
    <row r="43" spans="1:7">
      <c r="A43" s="156"/>
      <c r="B43" s="1197" t="s">
        <v>1199</v>
      </c>
      <c r="C43" s="1197"/>
      <c r="D43" s="1197"/>
      <c r="E43" s="1197"/>
      <c r="F43" s="1197"/>
      <c r="G43" s="1197"/>
    </row>
    <row r="44" spans="1:7">
      <c r="A44" s="513"/>
      <c r="B44" s="1197" t="s">
        <v>1200</v>
      </c>
      <c r="C44" s="1197"/>
      <c r="D44" s="1197"/>
      <c r="E44" s="1197"/>
      <c r="F44" s="1197"/>
      <c r="G44" s="1197"/>
    </row>
    <row r="45" spans="1:7">
      <c r="A45" s="156"/>
      <c r="B45" s="156"/>
      <c r="C45" s="156"/>
      <c r="D45" s="487"/>
      <c r="E45" s="156"/>
      <c r="F45" s="156"/>
      <c r="G45" s="156"/>
    </row>
    <row r="46" spans="1:7">
      <c r="A46" s="487"/>
      <c r="B46" s="1197" t="s">
        <v>1201</v>
      </c>
      <c r="C46" s="1197"/>
      <c r="D46" s="1197"/>
      <c r="E46" s="1197"/>
      <c r="F46" s="1197"/>
      <c r="G46" s="1197"/>
    </row>
    <row r="47" spans="1:7">
      <c r="A47" s="156"/>
      <c r="B47" s="1197" t="s">
        <v>1202</v>
      </c>
      <c r="C47" s="1197"/>
      <c r="D47" s="1197"/>
      <c r="E47" s="1197"/>
      <c r="F47" s="1197"/>
      <c r="G47" s="1197"/>
    </row>
    <row r="49" spans="3:7">
      <c r="C49" s="782" t="s">
        <v>1203</v>
      </c>
    </row>
    <row r="50" spans="3:7">
      <c r="E50" s="783">
        <v>45473</v>
      </c>
    </row>
    <row r="51" spans="3:7">
      <c r="C51" s="516" t="s">
        <v>1204</v>
      </c>
      <c r="E51" s="562">
        <f>+E14</f>
        <v>124133.541</v>
      </c>
    </row>
    <row r="52" spans="3:7">
      <c r="C52" s="516" t="s">
        <v>1205</v>
      </c>
      <c r="E52" s="562">
        <f>+E15</f>
        <v>155109</v>
      </c>
    </row>
    <row r="53" spans="3:7" ht="10.8" thickBot="1">
      <c r="E53" s="566">
        <f>SUM(E51:E52)</f>
        <v>279242.54099999997</v>
      </c>
    </row>
    <row r="54" spans="3:7" ht="10.8" thickTop="1">
      <c r="E54" s="526"/>
    </row>
    <row r="55" spans="3:7">
      <c r="E55" s="526"/>
    </row>
    <row r="56" spans="3:7">
      <c r="C56" s="516" t="s">
        <v>1206</v>
      </c>
      <c r="E56" s="784">
        <f>'E1'!B51</f>
        <v>125000</v>
      </c>
    </row>
    <row r="57" spans="3:7">
      <c r="C57" s="516" t="s">
        <v>1207</v>
      </c>
      <c r="E57" s="784">
        <f>'E1'!B49</f>
        <v>155109</v>
      </c>
    </row>
    <row r="58" spans="3:7" ht="10.8" thickBot="1">
      <c r="E58" s="566">
        <f>SUM(E56:E57)</f>
        <v>280109</v>
      </c>
    </row>
    <row r="59" spans="3:7" ht="10.8" thickTop="1">
      <c r="E59" s="526"/>
    </row>
    <row r="60" spans="3:7">
      <c r="C60" s="560" t="s">
        <v>3</v>
      </c>
      <c r="E60" s="526"/>
    </row>
    <row r="61" spans="3:7">
      <c r="C61" s="516" t="s">
        <v>149</v>
      </c>
      <c r="E61" s="526">
        <f>+E51-E56</f>
        <v>-866.45900000000256</v>
      </c>
    </row>
    <row r="62" spans="3:7">
      <c r="C62" s="516" t="s">
        <v>1186</v>
      </c>
      <c r="E62" s="526">
        <f>+E52-E57</f>
        <v>0</v>
      </c>
    </row>
    <row r="63" spans="3:7" ht="10.8" thickBot="1">
      <c r="C63" s="519" t="s">
        <v>1208</v>
      </c>
      <c r="E63" s="785">
        <f>SUM(E61:E62)</f>
        <v>-866.45900000000256</v>
      </c>
      <c r="G63" s="516" t="s">
        <v>1209</v>
      </c>
    </row>
    <row r="64" spans="3:7" ht="10.8" thickTop="1">
      <c r="E64" s="526"/>
      <c r="G64" s="516" t="s">
        <v>1210</v>
      </c>
    </row>
    <row r="65" spans="7:7">
      <c r="G65" s="516" t="s">
        <v>1211</v>
      </c>
    </row>
  </sheetData>
  <mergeCells count="14">
    <mergeCell ref="B46:G46"/>
    <mergeCell ref="B47:G47"/>
    <mergeCell ref="B37:G37"/>
    <mergeCell ref="B38:G38"/>
    <mergeCell ref="B39:G39"/>
    <mergeCell ref="B40:G40"/>
    <mergeCell ref="B41:G41"/>
    <mergeCell ref="B43:G43"/>
    <mergeCell ref="A3:M3"/>
    <mergeCell ref="A4:M4"/>
    <mergeCell ref="A5:M5"/>
    <mergeCell ref="A6:M6"/>
    <mergeCell ref="B44:G44"/>
    <mergeCell ref="E9:G9"/>
  </mergeCells>
  <printOptions horizontalCentered="1"/>
  <pageMargins left="0.7" right="0.7" top="0.75" bottom="0.75" header="0.3" footer="0.3"/>
  <pageSetup fitToHeight="0" orientation="landscape" r:id="rId1"/>
  <headerFooter alignWithMargins="0"/>
  <rowBreaks count="1" manualBreakCount="1">
    <brk id="31" max="12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AF7B6-F99E-4041-8C52-B3C191ECF999}">
  <sheetPr>
    <pageSetUpPr fitToPage="1"/>
  </sheetPr>
  <dimension ref="A1:M41"/>
  <sheetViews>
    <sheetView showGridLines="0" zoomScaleNormal="100" zoomScaleSheetLayoutView="100" workbookViewId="0"/>
  </sheetViews>
  <sheetFormatPr defaultRowHeight="10.199999999999999"/>
  <cols>
    <col min="1" max="1" width="4.33203125" style="516" customWidth="1"/>
    <col min="2" max="2" width="2.88671875" style="516" customWidth="1"/>
    <col min="3" max="3" width="27.88671875" style="516" customWidth="1"/>
    <col min="4" max="4" width="4.33203125" style="516" customWidth="1"/>
    <col min="5" max="5" width="9.33203125" style="516" customWidth="1"/>
    <col min="6" max="6" width="4.33203125" style="516" customWidth="1"/>
    <col min="7" max="7" width="9.33203125" style="516" customWidth="1"/>
    <col min="8" max="8" width="4.33203125" style="516" customWidth="1"/>
    <col min="9" max="9" width="9.33203125" style="516" customWidth="1"/>
    <col min="10" max="10" width="4.33203125" style="516" customWidth="1"/>
    <col min="11" max="11" width="9.33203125" style="516" customWidth="1"/>
    <col min="12" max="12" width="2.88671875" style="516" customWidth="1"/>
    <col min="13" max="13" width="4.33203125" style="516" customWidth="1"/>
    <col min="14" max="249" width="8.6640625" style="516"/>
    <col min="250" max="250" width="4.33203125" style="516" customWidth="1"/>
    <col min="251" max="251" width="2.88671875" style="516" customWidth="1"/>
    <col min="252" max="252" width="27.88671875" style="516" customWidth="1"/>
    <col min="253" max="253" width="4.33203125" style="516" customWidth="1"/>
    <col min="254" max="254" width="9.33203125" style="516" customWidth="1"/>
    <col min="255" max="255" width="4.33203125" style="516" customWidth="1"/>
    <col min="256" max="256" width="9.33203125" style="516" customWidth="1"/>
    <col min="257" max="257" width="4.33203125" style="516" customWidth="1"/>
    <col min="258" max="258" width="9.33203125" style="516" customWidth="1"/>
    <col min="259" max="259" width="4.33203125" style="516" customWidth="1"/>
    <col min="260" max="260" width="9.33203125" style="516" customWidth="1"/>
    <col min="261" max="261" width="2.88671875" style="516" customWidth="1"/>
    <col min="262" max="262" width="4.33203125" style="516" customWidth="1"/>
    <col min="263" max="263" width="2.88671875" style="516" customWidth="1"/>
    <col min="264" max="264" width="20.6640625" style="516" customWidth="1"/>
    <col min="265" max="265" width="18.5546875" style="516" customWidth="1"/>
    <col min="266" max="505" width="8.6640625" style="516"/>
    <col min="506" max="506" width="4.33203125" style="516" customWidth="1"/>
    <col min="507" max="507" width="2.88671875" style="516" customWidth="1"/>
    <col min="508" max="508" width="27.88671875" style="516" customWidth="1"/>
    <col min="509" max="509" width="4.33203125" style="516" customWidth="1"/>
    <col min="510" max="510" width="9.33203125" style="516" customWidth="1"/>
    <col min="511" max="511" width="4.33203125" style="516" customWidth="1"/>
    <col min="512" max="512" width="9.33203125" style="516" customWidth="1"/>
    <col min="513" max="513" width="4.33203125" style="516" customWidth="1"/>
    <col min="514" max="514" width="9.33203125" style="516" customWidth="1"/>
    <col min="515" max="515" width="4.33203125" style="516" customWidth="1"/>
    <col min="516" max="516" width="9.33203125" style="516" customWidth="1"/>
    <col min="517" max="517" width="2.88671875" style="516" customWidth="1"/>
    <col min="518" max="518" width="4.33203125" style="516" customWidth="1"/>
    <col min="519" max="519" width="2.88671875" style="516" customWidth="1"/>
    <col min="520" max="520" width="20.6640625" style="516" customWidth="1"/>
    <col min="521" max="521" width="18.5546875" style="516" customWidth="1"/>
    <col min="522" max="761" width="8.6640625" style="516"/>
    <col min="762" max="762" width="4.33203125" style="516" customWidth="1"/>
    <col min="763" max="763" width="2.88671875" style="516" customWidth="1"/>
    <col min="764" max="764" width="27.88671875" style="516" customWidth="1"/>
    <col min="765" max="765" width="4.33203125" style="516" customWidth="1"/>
    <col min="766" max="766" width="9.33203125" style="516" customWidth="1"/>
    <col min="767" max="767" width="4.33203125" style="516" customWidth="1"/>
    <col min="768" max="768" width="9.33203125" style="516" customWidth="1"/>
    <col min="769" max="769" width="4.33203125" style="516" customWidth="1"/>
    <col min="770" max="770" width="9.33203125" style="516" customWidth="1"/>
    <col min="771" max="771" width="4.33203125" style="516" customWidth="1"/>
    <col min="772" max="772" width="9.33203125" style="516" customWidth="1"/>
    <col min="773" max="773" width="2.88671875" style="516" customWidth="1"/>
    <col min="774" max="774" width="4.33203125" style="516" customWidth="1"/>
    <col min="775" max="775" width="2.88671875" style="516" customWidth="1"/>
    <col min="776" max="776" width="20.6640625" style="516" customWidth="1"/>
    <col min="777" max="777" width="18.5546875" style="516" customWidth="1"/>
    <col min="778" max="1017" width="8.6640625" style="516"/>
    <col min="1018" max="1018" width="4.33203125" style="516" customWidth="1"/>
    <col min="1019" max="1019" width="2.88671875" style="516" customWidth="1"/>
    <col min="1020" max="1020" width="27.88671875" style="516" customWidth="1"/>
    <col min="1021" max="1021" width="4.33203125" style="516" customWidth="1"/>
    <col min="1022" max="1022" width="9.33203125" style="516" customWidth="1"/>
    <col min="1023" max="1023" width="4.33203125" style="516" customWidth="1"/>
    <col min="1024" max="1024" width="9.33203125" style="516" customWidth="1"/>
    <col min="1025" max="1025" width="4.33203125" style="516" customWidth="1"/>
    <col min="1026" max="1026" width="9.33203125" style="516" customWidth="1"/>
    <col min="1027" max="1027" width="4.33203125" style="516" customWidth="1"/>
    <col min="1028" max="1028" width="9.33203125" style="516" customWidth="1"/>
    <col min="1029" max="1029" width="2.88671875" style="516" customWidth="1"/>
    <col min="1030" max="1030" width="4.33203125" style="516" customWidth="1"/>
    <col min="1031" max="1031" width="2.88671875" style="516" customWidth="1"/>
    <col min="1032" max="1032" width="20.6640625" style="516" customWidth="1"/>
    <col min="1033" max="1033" width="18.5546875" style="516" customWidth="1"/>
    <col min="1034" max="1273" width="8.6640625" style="516"/>
    <col min="1274" max="1274" width="4.33203125" style="516" customWidth="1"/>
    <col min="1275" max="1275" width="2.88671875" style="516" customWidth="1"/>
    <col min="1276" max="1276" width="27.88671875" style="516" customWidth="1"/>
    <col min="1277" max="1277" width="4.33203125" style="516" customWidth="1"/>
    <col min="1278" max="1278" width="9.33203125" style="516" customWidth="1"/>
    <col min="1279" max="1279" width="4.33203125" style="516" customWidth="1"/>
    <col min="1280" max="1280" width="9.33203125" style="516" customWidth="1"/>
    <col min="1281" max="1281" width="4.33203125" style="516" customWidth="1"/>
    <col min="1282" max="1282" width="9.33203125" style="516" customWidth="1"/>
    <col min="1283" max="1283" width="4.33203125" style="516" customWidth="1"/>
    <col min="1284" max="1284" width="9.33203125" style="516" customWidth="1"/>
    <col min="1285" max="1285" width="2.88671875" style="516" customWidth="1"/>
    <col min="1286" max="1286" width="4.33203125" style="516" customWidth="1"/>
    <col min="1287" max="1287" width="2.88671875" style="516" customWidth="1"/>
    <col min="1288" max="1288" width="20.6640625" style="516" customWidth="1"/>
    <col min="1289" max="1289" width="18.5546875" style="516" customWidth="1"/>
    <col min="1290" max="1529" width="8.6640625" style="516"/>
    <col min="1530" max="1530" width="4.33203125" style="516" customWidth="1"/>
    <col min="1531" max="1531" width="2.88671875" style="516" customWidth="1"/>
    <col min="1532" max="1532" width="27.88671875" style="516" customWidth="1"/>
    <col min="1533" max="1533" width="4.33203125" style="516" customWidth="1"/>
    <col min="1534" max="1534" width="9.33203125" style="516" customWidth="1"/>
    <col min="1535" max="1535" width="4.33203125" style="516" customWidth="1"/>
    <col min="1536" max="1536" width="9.33203125" style="516" customWidth="1"/>
    <col min="1537" max="1537" width="4.33203125" style="516" customWidth="1"/>
    <col min="1538" max="1538" width="9.33203125" style="516" customWidth="1"/>
    <col min="1539" max="1539" width="4.33203125" style="516" customWidth="1"/>
    <col min="1540" max="1540" width="9.33203125" style="516" customWidth="1"/>
    <col min="1541" max="1541" width="2.88671875" style="516" customWidth="1"/>
    <col min="1542" max="1542" width="4.33203125" style="516" customWidth="1"/>
    <col min="1543" max="1543" width="2.88671875" style="516" customWidth="1"/>
    <col min="1544" max="1544" width="20.6640625" style="516" customWidth="1"/>
    <col min="1545" max="1545" width="18.5546875" style="516" customWidth="1"/>
    <col min="1546" max="1785" width="8.6640625" style="516"/>
    <col min="1786" max="1786" width="4.33203125" style="516" customWidth="1"/>
    <col min="1787" max="1787" width="2.88671875" style="516" customWidth="1"/>
    <col min="1788" max="1788" width="27.88671875" style="516" customWidth="1"/>
    <col min="1789" max="1789" width="4.33203125" style="516" customWidth="1"/>
    <col min="1790" max="1790" width="9.33203125" style="516" customWidth="1"/>
    <col min="1791" max="1791" width="4.33203125" style="516" customWidth="1"/>
    <col min="1792" max="1792" width="9.33203125" style="516" customWidth="1"/>
    <col min="1793" max="1793" width="4.33203125" style="516" customWidth="1"/>
    <col min="1794" max="1794" width="9.33203125" style="516" customWidth="1"/>
    <col min="1795" max="1795" width="4.33203125" style="516" customWidth="1"/>
    <col min="1796" max="1796" width="9.33203125" style="516" customWidth="1"/>
    <col min="1797" max="1797" width="2.88671875" style="516" customWidth="1"/>
    <col min="1798" max="1798" width="4.33203125" style="516" customWidth="1"/>
    <col min="1799" max="1799" width="2.88671875" style="516" customWidth="1"/>
    <col min="1800" max="1800" width="20.6640625" style="516" customWidth="1"/>
    <col min="1801" max="1801" width="18.5546875" style="516" customWidth="1"/>
    <col min="1802" max="2041" width="8.6640625" style="516"/>
    <col min="2042" max="2042" width="4.33203125" style="516" customWidth="1"/>
    <col min="2043" max="2043" width="2.88671875" style="516" customWidth="1"/>
    <col min="2044" max="2044" width="27.88671875" style="516" customWidth="1"/>
    <col min="2045" max="2045" width="4.33203125" style="516" customWidth="1"/>
    <col min="2046" max="2046" width="9.33203125" style="516" customWidth="1"/>
    <col min="2047" max="2047" width="4.33203125" style="516" customWidth="1"/>
    <col min="2048" max="2048" width="9.33203125" style="516" customWidth="1"/>
    <col min="2049" max="2049" width="4.33203125" style="516" customWidth="1"/>
    <col min="2050" max="2050" width="9.33203125" style="516" customWidth="1"/>
    <col min="2051" max="2051" width="4.33203125" style="516" customWidth="1"/>
    <col min="2052" max="2052" width="9.33203125" style="516" customWidth="1"/>
    <col min="2053" max="2053" width="2.88671875" style="516" customWidth="1"/>
    <col min="2054" max="2054" width="4.33203125" style="516" customWidth="1"/>
    <col min="2055" max="2055" width="2.88671875" style="516" customWidth="1"/>
    <col min="2056" max="2056" width="20.6640625" style="516" customWidth="1"/>
    <col min="2057" max="2057" width="18.5546875" style="516" customWidth="1"/>
    <col min="2058" max="2297" width="8.6640625" style="516"/>
    <col min="2298" max="2298" width="4.33203125" style="516" customWidth="1"/>
    <col min="2299" max="2299" width="2.88671875" style="516" customWidth="1"/>
    <col min="2300" max="2300" width="27.88671875" style="516" customWidth="1"/>
    <col min="2301" max="2301" width="4.33203125" style="516" customWidth="1"/>
    <col min="2302" max="2302" width="9.33203125" style="516" customWidth="1"/>
    <col min="2303" max="2303" width="4.33203125" style="516" customWidth="1"/>
    <col min="2304" max="2304" width="9.33203125" style="516" customWidth="1"/>
    <col min="2305" max="2305" width="4.33203125" style="516" customWidth="1"/>
    <col min="2306" max="2306" width="9.33203125" style="516" customWidth="1"/>
    <col min="2307" max="2307" width="4.33203125" style="516" customWidth="1"/>
    <col min="2308" max="2308" width="9.33203125" style="516" customWidth="1"/>
    <col min="2309" max="2309" width="2.88671875" style="516" customWidth="1"/>
    <col min="2310" max="2310" width="4.33203125" style="516" customWidth="1"/>
    <col min="2311" max="2311" width="2.88671875" style="516" customWidth="1"/>
    <col min="2312" max="2312" width="20.6640625" style="516" customWidth="1"/>
    <col min="2313" max="2313" width="18.5546875" style="516" customWidth="1"/>
    <col min="2314" max="2553" width="8.6640625" style="516"/>
    <col min="2554" max="2554" width="4.33203125" style="516" customWidth="1"/>
    <col min="2555" max="2555" width="2.88671875" style="516" customWidth="1"/>
    <col min="2556" max="2556" width="27.88671875" style="516" customWidth="1"/>
    <col min="2557" max="2557" width="4.33203125" style="516" customWidth="1"/>
    <col min="2558" max="2558" width="9.33203125" style="516" customWidth="1"/>
    <col min="2559" max="2559" width="4.33203125" style="516" customWidth="1"/>
    <col min="2560" max="2560" width="9.33203125" style="516" customWidth="1"/>
    <col min="2561" max="2561" width="4.33203125" style="516" customWidth="1"/>
    <col min="2562" max="2562" width="9.33203125" style="516" customWidth="1"/>
    <col min="2563" max="2563" width="4.33203125" style="516" customWidth="1"/>
    <col min="2564" max="2564" width="9.33203125" style="516" customWidth="1"/>
    <col min="2565" max="2565" width="2.88671875" style="516" customWidth="1"/>
    <col min="2566" max="2566" width="4.33203125" style="516" customWidth="1"/>
    <col min="2567" max="2567" width="2.88671875" style="516" customWidth="1"/>
    <col min="2568" max="2568" width="20.6640625" style="516" customWidth="1"/>
    <col min="2569" max="2569" width="18.5546875" style="516" customWidth="1"/>
    <col min="2570" max="2809" width="8.6640625" style="516"/>
    <col min="2810" max="2810" width="4.33203125" style="516" customWidth="1"/>
    <col min="2811" max="2811" width="2.88671875" style="516" customWidth="1"/>
    <col min="2812" max="2812" width="27.88671875" style="516" customWidth="1"/>
    <col min="2813" max="2813" width="4.33203125" style="516" customWidth="1"/>
    <col min="2814" max="2814" width="9.33203125" style="516" customWidth="1"/>
    <col min="2815" max="2815" width="4.33203125" style="516" customWidth="1"/>
    <col min="2816" max="2816" width="9.33203125" style="516" customWidth="1"/>
    <col min="2817" max="2817" width="4.33203125" style="516" customWidth="1"/>
    <col min="2818" max="2818" width="9.33203125" style="516" customWidth="1"/>
    <col min="2819" max="2819" width="4.33203125" style="516" customWidth="1"/>
    <col min="2820" max="2820" width="9.33203125" style="516" customWidth="1"/>
    <col min="2821" max="2821" width="2.88671875" style="516" customWidth="1"/>
    <col min="2822" max="2822" width="4.33203125" style="516" customWidth="1"/>
    <col min="2823" max="2823" width="2.88671875" style="516" customWidth="1"/>
    <col min="2824" max="2824" width="20.6640625" style="516" customWidth="1"/>
    <col min="2825" max="2825" width="18.5546875" style="516" customWidth="1"/>
    <col min="2826" max="3065" width="8.6640625" style="516"/>
    <col min="3066" max="3066" width="4.33203125" style="516" customWidth="1"/>
    <col min="3067" max="3067" width="2.88671875" style="516" customWidth="1"/>
    <col min="3068" max="3068" width="27.88671875" style="516" customWidth="1"/>
    <col min="3069" max="3069" width="4.33203125" style="516" customWidth="1"/>
    <col min="3070" max="3070" width="9.33203125" style="516" customWidth="1"/>
    <col min="3071" max="3071" width="4.33203125" style="516" customWidth="1"/>
    <col min="3072" max="3072" width="9.33203125" style="516" customWidth="1"/>
    <col min="3073" max="3073" width="4.33203125" style="516" customWidth="1"/>
    <col min="3074" max="3074" width="9.33203125" style="516" customWidth="1"/>
    <col min="3075" max="3075" width="4.33203125" style="516" customWidth="1"/>
    <col min="3076" max="3076" width="9.33203125" style="516" customWidth="1"/>
    <col min="3077" max="3077" width="2.88671875" style="516" customWidth="1"/>
    <col min="3078" max="3078" width="4.33203125" style="516" customWidth="1"/>
    <col min="3079" max="3079" width="2.88671875" style="516" customWidth="1"/>
    <col min="3080" max="3080" width="20.6640625" style="516" customWidth="1"/>
    <col min="3081" max="3081" width="18.5546875" style="516" customWidth="1"/>
    <col min="3082" max="3321" width="8.6640625" style="516"/>
    <col min="3322" max="3322" width="4.33203125" style="516" customWidth="1"/>
    <col min="3323" max="3323" width="2.88671875" style="516" customWidth="1"/>
    <col min="3324" max="3324" width="27.88671875" style="516" customWidth="1"/>
    <col min="3325" max="3325" width="4.33203125" style="516" customWidth="1"/>
    <col min="3326" max="3326" width="9.33203125" style="516" customWidth="1"/>
    <col min="3327" max="3327" width="4.33203125" style="516" customWidth="1"/>
    <col min="3328" max="3328" width="9.33203125" style="516" customWidth="1"/>
    <col min="3329" max="3329" width="4.33203125" style="516" customWidth="1"/>
    <col min="3330" max="3330" width="9.33203125" style="516" customWidth="1"/>
    <col min="3331" max="3331" width="4.33203125" style="516" customWidth="1"/>
    <col min="3332" max="3332" width="9.33203125" style="516" customWidth="1"/>
    <col min="3333" max="3333" width="2.88671875" style="516" customWidth="1"/>
    <col min="3334" max="3334" width="4.33203125" style="516" customWidth="1"/>
    <col min="3335" max="3335" width="2.88671875" style="516" customWidth="1"/>
    <col min="3336" max="3336" width="20.6640625" style="516" customWidth="1"/>
    <col min="3337" max="3337" width="18.5546875" style="516" customWidth="1"/>
    <col min="3338" max="3577" width="8.6640625" style="516"/>
    <col min="3578" max="3578" width="4.33203125" style="516" customWidth="1"/>
    <col min="3579" max="3579" width="2.88671875" style="516" customWidth="1"/>
    <col min="3580" max="3580" width="27.88671875" style="516" customWidth="1"/>
    <col min="3581" max="3581" width="4.33203125" style="516" customWidth="1"/>
    <col min="3582" max="3582" width="9.33203125" style="516" customWidth="1"/>
    <col min="3583" max="3583" width="4.33203125" style="516" customWidth="1"/>
    <col min="3584" max="3584" width="9.33203125" style="516" customWidth="1"/>
    <col min="3585" max="3585" width="4.33203125" style="516" customWidth="1"/>
    <col min="3586" max="3586" width="9.33203125" style="516" customWidth="1"/>
    <col min="3587" max="3587" width="4.33203125" style="516" customWidth="1"/>
    <col min="3588" max="3588" width="9.33203125" style="516" customWidth="1"/>
    <col min="3589" max="3589" width="2.88671875" style="516" customWidth="1"/>
    <col min="3590" max="3590" width="4.33203125" style="516" customWidth="1"/>
    <col min="3591" max="3591" width="2.88671875" style="516" customWidth="1"/>
    <col min="3592" max="3592" width="20.6640625" style="516" customWidth="1"/>
    <col min="3593" max="3593" width="18.5546875" style="516" customWidth="1"/>
    <col min="3594" max="3833" width="8.6640625" style="516"/>
    <col min="3834" max="3834" width="4.33203125" style="516" customWidth="1"/>
    <col min="3835" max="3835" width="2.88671875" style="516" customWidth="1"/>
    <col min="3836" max="3836" width="27.88671875" style="516" customWidth="1"/>
    <col min="3837" max="3837" width="4.33203125" style="516" customWidth="1"/>
    <col min="3838" max="3838" width="9.33203125" style="516" customWidth="1"/>
    <col min="3839" max="3839" width="4.33203125" style="516" customWidth="1"/>
    <col min="3840" max="3840" width="9.33203125" style="516" customWidth="1"/>
    <col min="3841" max="3841" width="4.33203125" style="516" customWidth="1"/>
    <col min="3842" max="3842" width="9.33203125" style="516" customWidth="1"/>
    <col min="3843" max="3843" width="4.33203125" style="516" customWidth="1"/>
    <col min="3844" max="3844" width="9.33203125" style="516" customWidth="1"/>
    <col min="3845" max="3845" width="2.88671875" style="516" customWidth="1"/>
    <col min="3846" max="3846" width="4.33203125" style="516" customWidth="1"/>
    <col min="3847" max="3847" width="2.88671875" style="516" customWidth="1"/>
    <col min="3848" max="3848" width="20.6640625" style="516" customWidth="1"/>
    <col min="3849" max="3849" width="18.5546875" style="516" customWidth="1"/>
    <col min="3850" max="4089" width="8.6640625" style="516"/>
    <col min="4090" max="4090" width="4.33203125" style="516" customWidth="1"/>
    <col min="4091" max="4091" width="2.88671875" style="516" customWidth="1"/>
    <col min="4092" max="4092" width="27.88671875" style="516" customWidth="1"/>
    <col min="4093" max="4093" width="4.33203125" style="516" customWidth="1"/>
    <col min="4094" max="4094" width="9.33203125" style="516" customWidth="1"/>
    <col min="4095" max="4095" width="4.33203125" style="516" customWidth="1"/>
    <col min="4096" max="4096" width="9.33203125" style="516" customWidth="1"/>
    <col min="4097" max="4097" width="4.33203125" style="516" customWidth="1"/>
    <col min="4098" max="4098" width="9.33203125" style="516" customWidth="1"/>
    <col min="4099" max="4099" width="4.33203125" style="516" customWidth="1"/>
    <col min="4100" max="4100" width="9.33203125" style="516" customWidth="1"/>
    <col min="4101" max="4101" width="2.88671875" style="516" customWidth="1"/>
    <col min="4102" max="4102" width="4.33203125" style="516" customWidth="1"/>
    <col min="4103" max="4103" width="2.88671875" style="516" customWidth="1"/>
    <col min="4104" max="4104" width="20.6640625" style="516" customWidth="1"/>
    <col min="4105" max="4105" width="18.5546875" style="516" customWidth="1"/>
    <col min="4106" max="4345" width="8.6640625" style="516"/>
    <col min="4346" max="4346" width="4.33203125" style="516" customWidth="1"/>
    <col min="4347" max="4347" width="2.88671875" style="516" customWidth="1"/>
    <col min="4348" max="4348" width="27.88671875" style="516" customWidth="1"/>
    <col min="4349" max="4349" width="4.33203125" style="516" customWidth="1"/>
    <col min="4350" max="4350" width="9.33203125" style="516" customWidth="1"/>
    <col min="4351" max="4351" width="4.33203125" style="516" customWidth="1"/>
    <col min="4352" max="4352" width="9.33203125" style="516" customWidth="1"/>
    <col min="4353" max="4353" width="4.33203125" style="516" customWidth="1"/>
    <col min="4354" max="4354" width="9.33203125" style="516" customWidth="1"/>
    <col min="4355" max="4355" width="4.33203125" style="516" customWidth="1"/>
    <col min="4356" max="4356" width="9.33203125" style="516" customWidth="1"/>
    <col min="4357" max="4357" width="2.88671875" style="516" customWidth="1"/>
    <col min="4358" max="4358" width="4.33203125" style="516" customWidth="1"/>
    <col min="4359" max="4359" width="2.88671875" style="516" customWidth="1"/>
    <col min="4360" max="4360" width="20.6640625" style="516" customWidth="1"/>
    <col min="4361" max="4361" width="18.5546875" style="516" customWidth="1"/>
    <col min="4362" max="4601" width="8.6640625" style="516"/>
    <col min="4602" max="4602" width="4.33203125" style="516" customWidth="1"/>
    <col min="4603" max="4603" width="2.88671875" style="516" customWidth="1"/>
    <col min="4604" max="4604" width="27.88671875" style="516" customWidth="1"/>
    <col min="4605" max="4605" width="4.33203125" style="516" customWidth="1"/>
    <col min="4606" max="4606" width="9.33203125" style="516" customWidth="1"/>
    <col min="4607" max="4607" width="4.33203125" style="516" customWidth="1"/>
    <col min="4608" max="4608" width="9.33203125" style="516" customWidth="1"/>
    <col min="4609" max="4609" width="4.33203125" style="516" customWidth="1"/>
    <col min="4610" max="4610" width="9.33203125" style="516" customWidth="1"/>
    <col min="4611" max="4611" width="4.33203125" style="516" customWidth="1"/>
    <col min="4612" max="4612" width="9.33203125" style="516" customWidth="1"/>
    <col min="4613" max="4613" width="2.88671875" style="516" customWidth="1"/>
    <col min="4614" max="4614" width="4.33203125" style="516" customWidth="1"/>
    <col min="4615" max="4615" width="2.88671875" style="516" customWidth="1"/>
    <col min="4616" max="4616" width="20.6640625" style="516" customWidth="1"/>
    <col min="4617" max="4617" width="18.5546875" style="516" customWidth="1"/>
    <col min="4618" max="4857" width="8.6640625" style="516"/>
    <col min="4858" max="4858" width="4.33203125" style="516" customWidth="1"/>
    <col min="4859" max="4859" width="2.88671875" style="516" customWidth="1"/>
    <col min="4860" max="4860" width="27.88671875" style="516" customWidth="1"/>
    <col min="4861" max="4861" width="4.33203125" style="516" customWidth="1"/>
    <col min="4862" max="4862" width="9.33203125" style="516" customWidth="1"/>
    <col min="4863" max="4863" width="4.33203125" style="516" customWidth="1"/>
    <col min="4864" max="4864" width="9.33203125" style="516" customWidth="1"/>
    <col min="4865" max="4865" width="4.33203125" style="516" customWidth="1"/>
    <col min="4866" max="4866" width="9.33203125" style="516" customWidth="1"/>
    <col min="4867" max="4867" width="4.33203125" style="516" customWidth="1"/>
    <col min="4868" max="4868" width="9.33203125" style="516" customWidth="1"/>
    <col min="4869" max="4869" width="2.88671875" style="516" customWidth="1"/>
    <col min="4870" max="4870" width="4.33203125" style="516" customWidth="1"/>
    <col min="4871" max="4871" width="2.88671875" style="516" customWidth="1"/>
    <col min="4872" max="4872" width="20.6640625" style="516" customWidth="1"/>
    <col min="4873" max="4873" width="18.5546875" style="516" customWidth="1"/>
    <col min="4874" max="5113" width="8.6640625" style="516"/>
    <col min="5114" max="5114" width="4.33203125" style="516" customWidth="1"/>
    <col min="5115" max="5115" width="2.88671875" style="516" customWidth="1"/>
    <col min="5116" max="5116" width="27.88671875" style="516" customWidth="1"/>
    <col min="5117" max="5117" width="4.33203125" style="516" customWidth="1"/>
    <col min="5118" max="5118" width="9.33203125" style="516" customWidth="1"/>
    <col min="5119" max="5119" width="4.33203125" style="516" customWidth="1"/>
    <col min="5120" max="5120" width="9.33203125" style="516" customWidth="1"/>
    <col min="5121" max="5121" width="4.33203125" style="516" customWidth="1"/>
    <col min="5122" max="5122" width="9.33203125" style="516" customWidth="1"/>
    <col min="5123" max="5123" width="4.33203125" style="516" customWidth="1"/>
    <col min="5124" max="5124" width="9.33203125" style="516" customWidth="1"/>
    <col min="5125" max="5125" width="2.88671875" style="516" customWidth="1"/>
    <col min="5126" max="5126" width="4.33203125" style="516" customWidth="1"/>
    <col min="5127" max="5127" width="2.88671875" style="516" customWidth="1"/>
    <col min="5128" max="5128" width="20.6640625" style="516" customWidth="1"/>
    <col min="5129" max="5129" width="18.5546875" style="516" customWidth="1"/>
    <col min="5130" max="5369" width="8.6640625" style="516"/>
    <col min="5370" max="5370" width="4.33203125" style="516" customWidth="1"/>
    <col min="5371" max="5371" width="2.88671875" style="516" customWidth="1"/>
    <col min="5372" max="5372" width="27.88671875" style="516" customWidth="1"/>
    <col min="5373" max="5373" width="4.33203125" style="516" customWidth="1"/>
    <col min="5374" max="5374" width="9.33203125" style="516" customWidth="1"/>
    <col min="5375" max="5375" width="4.33203125" style="516" customWidth="1"/>
    <col min="5376" max="5376" width="9.33203125" style="516" customWidth="1"/>
    <col min="5377" max="5377" width="4.33203125" style="516" customWidth="1"/>
    <col min="5378" max="5378" width="9.33203125" style="516" customWidth="1"/>
    <col min="5379" max="5379" width="4.33203125" style="516" customWidth="1"/>
    <col min="5380" max="5380" width="9.33203125" style="516" customWidth="1"/>
    <col min="5381" max="5381" width="2.88671875" style="516" customWidth="1"/>
    <col min="5382" max="5382" width="4.33203125" style="516" customWidth="1"/>
    <col min="5383" max="5383" width="2.88671875" style="516" customWidth="1"/>
    <col min="5384" max="5384" width="20.6640625" style="516" customWidth="1"/>
    <col min="5385" max="5385" width="18.5546875" style="516" customWidth="1"/>
    <col min="5386" max="5625" width="8.6640625" style="516"/>
    <col min="5626" max="5626" width="4.33203125" style="516" customWidth="1"/>
    <col min="5627" max="5627" width="2.88671875" style="516" customWidth="1"/>
    <col min="5628" max="5628" width="27.88671875" style="516" customWidth="1"/>
    <col min="5629" max="5629" width="4.33203125" style="516" customWidth="1"/>
    <col min="5630" max="5630" width="9.33203125" style="516" customWidth="1"/>
    <col min="5631" max="5631" width="4.33203125" style="516" customWidth="1"/>
    <col min="5632" max="5632" width="9.33203125" style="516" customWidth="1"/>
    <col min="5633" max="5633" width="4.33203125" style="516" customWidth="1"/>
    <col min="5634" max="5634" width="9.33203125" style="516" customWidth="1"/>
    <col min="5635" max="5635" width="4.33203125" style="516" customWidth="1"/>
    <col min="5636" max="5636" width="9.33203125" style="516" customWidth="1"/>
    <col min="5637" max="5637" width="2.88671875" style="516" customWidth="1"/>
    <col min="5638" max="5638" width="4.33203125" style="516" customWidth="1"/>
    <col min="5639" max="5639" width="2.88671875" style="516" customWidth="1"/>
    <col min="5640" max="5640" width="20.6640625" style="516" customWidth="1"/>
    <col min="5641" max="5641" width="18.5546875" style="516" customWidth="1"/>
    <col min="5642" max="5881" width="8.6640625" style="516"/>
    <col min="5882" max="5882" width="4.33203125" style="516" customWidth="1"/>
    <col min="5883" max="5883" width="2.88671875" style="516" customWidth="1"/>
    <col min="5884" max="5884" width="27.88671875" style="516" customWidth="1"/>
    <col min="5885" max="5885" width="4.33203125" style="516" customWidth="1"/>
    <col min="5886" max="5886" width="9.33203125" style="516" customWidth="1"/>
    <col min="5887" max="5887" width="4.33203125" style="516" customWidth="1"/>
    <col min="5888" max="5888" width="9.33203125" style="516" customWidth="1"/>
    <col min="5889" max="5889" width="4.33203125" style="516" customWidth="1"/>
    <col min="5890" max="5890" width="9.33203125" style="516" customWidth="1"/>
    <col min="5891" max="5891" width="4.33203125" style="516" customWidth="1"/>
    <col min="5892" max="5892" width="9.33203125" style="516" customWidth="1"/>
    <col min="5893" max="5893" width="2.88671875" style="516" customWidth="1"/>
    <col min="5894" max="5894" width="4.33203125" style="516" customWidth="1"/>
    <col min="5895" max="5895" width="2.88671875" style="516" customWidth="1"/>
    <col min="5896" max="5896" width="20.6640625" style="516" customWidth="1"/>
    <col min="5897" max="5897" width="18.5546875" style="516" customWidth="1"/>
    <col min="5898" max="6137" width="8.6640625" style="516"/>
    <col min="6138" max="6138" width="4.33203125" style="516" customWidth="1"/>
    <col min="6139" max="6139" width="2.88671875" style="516" customWidth="1"/>
    <col min="6140" max="6140" width="27.88671875" style="516" customWidth="1"/>
    <col min="6141" max="6141" width="4.33203125" style="516" customWidth="1"/>
    <col min="6142" max="6142" width="9.33203125" style="516" customWidth="1"/>
    <col min="6143" max="6143" width="4.33203125" style="516" customWidth="1"/>
    <col min="6144" max="6144" width="9.33203125" style="516" customWidth="1"/>
    <col min="6145" max="6145" width="4.33203125" style="516" customWidth="1"/>
    <col min="6146" max="6146" width="9.33203125" style="516" customWidth="1"/>
    <col min="6147" max="6147" width="4.33203125" style="516" customWidth="1"/>
    <col min="6148" max="6148" width="9.33203125" style="516" customWidth="1"/>
    <col min="6149" max="6149" width="2.88671875" style="516" customWidth="1"/>
    <col min="6150" max="6150" width="4.33203125" style="516" customWidth="1"/>
    <col min="6151" max="6151" width="2.88671875" style="516" customWidth="1"/>
    <col min="6152" max="6152" width="20.6640625" style="516" customWidth="1"/>
    <col min="6153" max="6153" width="18.5546875" style="516" customWidth="1"/>
    <col min="6154" max="6393" width="8.6640625" style="516"/>
    <col min="6394" max="6394" width="4.33203125" style="516" customWidth="1"/>
    <col min="6395" max="6395" width="2.88671875" style="516" customWidth="1"/>
    <col min="6396" max="6396" width="27.88671875" style="516" customWidth="1"/>
    <col min="6397" max="6397" width="4.33203125" style="516" customWidth="1"/>
    <col min="6398" max="6398" width="9.33203125" style="516" customWidth="1"/>
    <col min="6399" max="6399" width="4.33203125" style="516" customWidth="1"/>
    <col min="6400" max="6400" width="9.33203125" style="516" customWidth="1"/>
    <col min="6401" max="6401" width="4.33203125" style="516" customWidth="1"/>
    <col min="6402" max="6402" width="9.33203125" style="516" customWidth="1"/>
    <col min="6403" max="6403" width="4.33203125" style="516" customWidth="1"/>
    <col min="6404" max="6404" width="9.33203125" style="516" customWidth="1"/>
    <col min="6405" max="6405" width="2.88671875" style="516" customWidth="1"/>
    <col min="6406" max="6406" width="4.33203125" style="516" customWidth="1"/>
    <col min="6407" max="6407" width="2.88671875" style="516" customWidth="1"/>
    <col min="6408" max="6408" width="20.6640625" style="516" customWidth="1"/>
    <col min="6409" max="6409" width="18.5546875" style="516" customWidth="1"/>
    <col min="6410" max="6649" width="8.6640625" style="516"/>
    <col min="6650" max="6650" width="4.33203125" style="516" customWidth="1"/>
    <col min="6651" max="6651" width="2.88671875" style="516" customWidth="1"/>
    <col min="6652" max="6652" width="27.88671875" style="516" customWidth="1"/>
    <col min="6653" max="6653" width="4.33203125" style="516" customWidth="1"/>
    <col min="6654" max="6654" width="9.33203125" style="516" customWidth="1"/>
    <col min="6655" max="6655" width="4.33203125" style="516" customWidth="1"/>
    <col min="6656" max="6656" width="9.33203125" style="516" customWidth="1"/>
    <col min="6657" max="6657" width="4.33203125" style="516" customWidth="1"/>
    <col min="6658" max="6658" width="9.33203125" style="516" customWidth="1"/>
    <col min="6659" max="6659" width="4.33203125" style="516" customWidth="1"/>
    <col min="6660" max="6660" width="9.33203125" style="516" customWidth="1"/>
    <col min="6661" max="6661" width="2.88671875" style="516" customWidth="1"/>
    <col min="6662" max="6662" width="4.33203125" style="516" customWidth="1"/>
    <col min="6663" max="6663" width="2.88671875" style="516" customWidth="1"/>
    <col min="6664" max="6664" width="20.6640625" style="516" customWidth="1"/>
    <col min="6665" max="6665" width="18.5546875" style="516" customWidth="1"/>
    <col min="6666" max="6905" width="8.6640625" style="516"/>
    <col min="6906" max="6906" width="4.33203125" style="516" customWidth="1"/>
    <col min="6907" max="6907" width="2.88671875" style="516" customWidth="1"/>
    <col min="6908" max="6908" width="27.88671875" style="516" customWidth="1"/>
    <col min="6909" max="6909" width="4.33203125" style="516" customWidth="1"/>
    <col min="6910" max="6910" width="9.33203125" style="516" customWidth="1"/>
    <col min="6911" max="6911" width="4.33203125" style="516" customWidth="1"/>
    <col min="6912" max="6912" width="9.33203125" style="516" customWidth="1"/>
    <col min="6913" max="6913" width="4.33203125" style="516" customWidth="1"/>
    <col min="6914" max="6914" width="9.33203125" style="516" customWidth="1"/>
    <col min="6915" max="6915" width="4.33203125" style="516" customWidth="1"/>
    <col min="6916" max="6916" width="9.33203125" style="516" customWidth="1"/>
    <col min="6917" max="6917" width="2.88671875" style="516" customWidth="1"/>
    <col min="6918" max="6918" width="4.33203125" style="516" customWidth="1"/>
    <col min="6919" max="6919" width="2.88671875" style="516" customWidth="1"/>
    <col min="6920" max="6920" width="20.6640625" style="516" customWidth="1"/>
    <col min="6921" max="6921" width="18.5546875" style="516" customWidth="1"/>
    <col min="6922" max="7161" width="8.6640625" style="516"/>
    <col min="7162" max="7162" width="4.33203125" style="516" customWidth="1"/>
    <col min="7163" max="7163" width="2.88671875" style="516" customWidth="1"/>
    <col min="7164" max="7164" width="27.88671875" style="516" customWidth="1"/>
    <col min="7165" max="7165" width="4.33203125" style="516" customWidth="1"/>
    <col min="7166" max="7166" width="9.33203125" style="516" customWidth="1"/>
    <col min="7167" max="7167" width="4.33203125" style="516" customWidth="1"/>
    <col min="7168" max="7168" width="9.33203125" style="516" customWidth="1"/>
    <col min="7169" max="7169" width="4.33203125" style="516" customWidth="1"/>
    <col min="7170" max="7170" width="9.33203125" style="516" customWidth="1"/>
    <col min="7171" max="7171" width="4.33203125" style="516" customWidth="1"/>
    <col min="7172" max="7172" width="9.33203125" style="516" customWidth="1"/>
    <col min="7173" max="7173" width="2.88671875" style="516" customWidth="1"/>
    <col min="7174" max="7174" width="4.33203125" style="516" customWidth="1"/>
    <col min="7175" max="7175" width="2.88671875" style="516" customWidth="1"/>
    <col min="7176" max="7176" width="20.6640625" style="516" customWidth="1"/>
    <col min="7177" max="7177" width="18.5546875" style="516" customWidth="1"/>
    <col min="7178" max="7417" width="8.6640625" style="516"/>
    <col min="7418" max="7418" width="4.33203125" style="516" customWidth="1"/>
    <col min="7419" max="7419" width="2.88671875" style="516" customWidth="1"/>
    <col min="7420" max="7420" width="27.88671875" style="516" customWidth="1"/>
    <col min="7421" max="7421" width="4.33203125" style="516" customWidth="1"/>
    <col min="7422" max="7422" width="9.33203125" style="516" customWidth="1"/>
    <col min="7423" max="7423" width="4.33203125" style="516" customWidth="1"/>
    <col min="7424" max="7424" width="9.33203125" style="516" customWidth="1"/>
    <col min="7425" max="7425" width="4.33203125" style="516" customWidth="1"/>
    <col min="7426" max="7426" width="9.33203125" style="516" customWidth="1"/>
    <col min="7427" max="7427" width="4.33203125" style="516" customWidth="1"/>
    <col min="7428" max="7428" width="9.33203125" style="516" customWidth="1"/>
    <col min="7429" max="7429" width="2.88671875" style="516" customWidth="1"/>
    <col min="7430" max="7430" width="4.33203125" style="516" customWidth="1"/>
    <col min="7431" max="7431" width="2.88671875" style="516" customWidth="1"/>
    <col min="7432" max="7432" width="20.6640625" style="516" customWidth="1"/>
    <col min="7433" max="7433" width="18.5546875" style="516" customWidth="1"/>
    <col min="7434" max="7673" width="8.6640625" style="516"/>
    <col min="7674" max="7674" width="4.33203125" style="516" customWidth="1"/>
    <col min="7675" max="7675" width="2.88671875" style="516" customWidth="1"/>
    <col min="7676" max="7676" width="27.88671875" style="516" customWidth="1"/>
    <col min="7677" max="7677" width="4.33203125" style="516" customWidth="1"/>
    <col min="7678" max="7678" width="9.33203125" style="516" customWidth="1"/>
    <col min="7679" max="7679" width="4.33203125" style="516" customWidth="1"/>
    <col min="7680" max="7680" width="9.33203125" style="516" customWidth="1"/>
    <col min="7681" max="7681" width="4.33203125" style="516" customWidth="1"/>
    <col min="7682" max="7682" width="9.33203125" style="516" customWidth="1"/>
    <col min="7683" max="7683" width="4.33203125" style="516" customWidth="1"/>
    <col min="7684" max="7684" width="9.33203125" style="516" customWidth="1"/>
    <col min="7685" max="7685" width="2.88671875" style="516" customWidth="1"/>
    <col min="7686" max="7686" width="4.33203125" style="516" customWidth="1"/>
    <col min="7687" max="7687" width="2.88671875" style="516" customWidth="1"/>
    <col min="7688" max="7688" width="20.6640625" style="516" customWidth="1"/>
    <col min="7689" max="7689" width="18.5546875" style="516" customWidth="1"/>
    <col min="7690" max="7929" width="8.6640625" style="516"/>
    <col min="7930" max="7930" width="4.33203125" style="516" customWidth="1"/>
    <col min="7931" max="7931" width="2.88671875" style="516" customWidth="1"/>
    <col min="7932" max="7932" width="27.88671875" style="516" customWidth="1"/>
    <col min="7933" max="7933" width="4.33203125" style="516" customWidth="1"/>
    <col min="7934" max="7934" width="9.33203125" style="516" customWidth="1"/>
    <col min="7935" max="7935" width="4.33203125" style="516" customWidth="1"/>
    <col min="7936" max="7936" width="9.33203125" style="516" customWidth="1"/>
    <col min="7937" max="7937" width="4.33203125" style="516" customWidth="1"/>
    <col min="7938" max="7938" width="9.33203125" style="516" customWidth="1"/>
    <col min="7939" max="7939" width="4.33203125" style="516" customWidth="1"/>
    <col min="7940" max="7940" width="9.33203125" style="516" customWidth="1"/>
    <col min="7941" max="7941" width="2.88671875" style="516" customWidth="1"/>
    <col min="7942" max="7942" width="4.33203125" style="516" customWidth="1"/>
    <col min="7943" max="7943" width="2.88671875" style="516" customWidth="1"/>
    <col min="7944" max="7944" width="20.6640625" style="516" customWidth="1"/>
    <col min="7945" max="7945" width="18.5546875" style="516" customWidth="1"/>
    <col min="7946" max="8185" width="8.6640625" style="516"/>
    <col min="8186" max="8186" width="4.33203125" style="516" customWidth="1"/>
    <col min="8187" max="8187" width="2.88671875" style="516" customWidth="1"/>
    <col min="8188" max="8188" width="27.88671875" style="516" customWidth="1"/>
    <col min="8189" max="8189" width="4.33203125" style="516" customWidth="1"/>
    <col min="8190" max="8190" width="9.33203125" style="516" customWidth="1"/>
    <col min="8191" max="8191" width="4.33203125" style="516" customWidth="1"/>
    <col min="8192" max="8192" width="9.33203125" style="516" customWidth="1"/>
    <col min="8193" max="8193" width="4.33203125" style="516" customWidth="1"/>
    <col min="8194" max="8194" width="9.33203125" style="516" customWidth="1"/>
    <col min="8195" max="8195" width="4.33203125" style="516" customWidth="1"/>
    <col min="8196" max="8196" width="9.33203125" style="516" customWidth="1"/>
    <col min="8197" max="8197" width="2.88671875" style="516" customWidth="1"/>
    <col min="8198" max="8198" width="4.33203125" style="516" customWidth="1"/>
    <col min="8199" max="8199" width="2.88671875" style="516" customWidth="1"/>
    <col min="8200" max="8200" width="20.6640625" style="516" customWidth="1"/>
    <col min="8201" max="8201" width="18.5546875" style="516" customWidth="1"/>
    <col min="8202" max="8441" width="8.6640625" style="516"/>
    <col min="8442" max="8442" width="4.33203125" style="516" customWidth="1"/>
    <col min="8443" max="8443" width="2.88671875" style="516" customWidth="1"/>
    <col min="8444" max="8444" width="27.88671875" style="516" customWidth="1"/>
    <col min="8445" max="8445" width="4.33203125" style="516" customWidth="1"/>
    <col min="8446" max="8446" width="9.33203125" style="516" customWidth="1"/>
    <col min="8447" max="8447" width="4.33203125" style="516" customWidth="1"/>
    <col min="8448" max="8448" width="9.33203125" style="516" customWidth="1"/>
    <col min="8449" max="8449" width="4.33203125" style="516" customWidth="1"/>
    <col min="8450" max="8450" width="9.33203125" style="516" customWidth="1"/>
    <col min="8451" max="8451" width="4.33203125" style="516" customWidth="1"/>
    <col min="8452" max="8452" width="9.33203125" style="516" customWidth="1"/>
    <col min="8453" max="8453" width="2.88671875" style="516" customWidth="1"/>
    <col min="8454" max="8454" width="4.33203125" style="516" customWidth="1"/>
    <col min="8455" max="8455" width="2.88671875" style="516" customWidth="1"/>
    <col min="8456" max="8456" width="20.6640625" style="516" customWidth="1"/>
    <col min="8457" max="8457" width="18.5546875" style="516" customWidth="1"/>
    <col min="8458" max="8697" width="8.6640625" style="516"/>
    <col min="8698" max="8698" width="4.33203125" style="516" customWidth="1"/>
    <col min="8699" max="8699" width="2.88671875" style="516" customWidth="1"/>
    <col min="8700" max="8700" width="27.88671875" style="516" customWidth="1"/>
    <col min="8701" max="8701" width="4.33203125" style="516" customWidth="1"/>
    <col min="8702" max="8702" width="9.33203125" style="516" customWidth="1"/>
    <col min="8703" max="8703" width="4.33203125" style="516" customWidth="1"/>
    <col min="8704" max="8704" width="9.33203125" style="516" customWidth="1"/>
    <col min="8705" max="8705" width="4.33203125" style="516" customWidth="1"/>
    <col min="8706" max="8706" width="9.33203125" style="516" customWidth="1"/>
    <col min="8707" max="8707" width="4.33203125" style="516" customWidth="1"/>
    <col min="8708" max="8708" width="9.33203125" style="516" customWidth="1"/>
    <col min="8709" max="8709" width="2.88671875" style="516" customWidth="1"/>
    <col min="8710" max="8710" width="4.33203125" style="516" customWidth="1"/>
    <col min="8711" max="8711" width="2.88671875" style="516" customWidth="1"/>
    <col min="8712" max="8712" width="20.6640625" style="516" customWidth="1"/>
    <col min="8713" max="8713" width="18.5546875" style="516" customWidth="1"/>
    <col min="8714" max="8953" width="8.6640625" style="516"/>
    <col min="8954" max="8954" width="4.33203125" style="516" customWidth="1"/>
    <col min="8955" max="8955" width="2.88671875" style="516" customWidth="1"/>
    <col min="8956" max="8956" width="27.88671875" style="516" customWidth="1"/>
    <col min="8957" max="8957" width="4.33203125" style="516" customWidth="1"/>
    <col min="8958" max="8958" width="9.33203125" style="516" customWidth="1"/>
    <col min="8959" max="8959" width="4.33203125" style="516" customWidth="1"/>
    <col min="8960" max="8960" width="9.33203125" style="516" customWidth="1"/>
    <col min="8961" max="8961" width="4.33203125" style="516" customWidth="1"/>
    <col min="8962" max="8962" width="9.33203125" style="516" customWidth="1"/>
    <col min="8963" max="8963" width="4.33203125" style="516" customWidth="1"/>
    <col min="8964" max="8964" width="9.33203125" style="516" customWidth="1"/>
    <col min="8965" max="8965" width="2.88671875" style="516" customWidth="1"/>
    <col min="8966" max="8966" width="4.33203125" style="516" customWidth="1"/>
    <col min="8967" max="8967" width="2.88671875" style="516" customWidth="1"/>
    <col min="8968" max="8968" width="20.6640625" style="516" customWidth="1"/>
    <col min="8969" max="8969" width="18.5546875" style="516" customWidth="1"/>
    <col min="8970" max="9209" width="8.6640625" style="516"/>
    <col min="9210" max="9210" width="4.33203125" style="516" customWidth="1"/>
    <col min="9211" max="9211" width="2.88671875" style="516" customWidth="1"/>
    <col min="9212" max="9212" width="27.88671875" style="516" customWidth="1"/>
    <col min="9213" max="9213" width="4.33203125" style="516" customWidth="1"/>
    <col min="9214" max="9214" width="9.33203125" style="516" customWidth="1"/>
    <col min="9215" max="9215" width="4.33203125" style="516" customWidth="1"/>
    <col min="9216" max="9216" width="9.33203125" style="516" customWidth="1"/>
    <col min="9217" max="9217" width="4.33203125" style="516" customWidth="1"/>
    <col min="9218" max="9218" width="9.33203125" style="516" customWidth="1"/>
    <col min="9219" max="9219" width="4.33203125" style="516" customWidth="1"/>
    <col min="9220" max="9220" width="9.33203125" style="516" customWidth="1"/>
    <col min="9221" max="9221" width="2.88671875" style="516" customWidth="1"/>
    <col min="9222" max="9222" width="4.33203125" style="516" customWidth="1"/>
    <col min="9223" max="9223" width="2.88671875" style="516" customWidth="1"/>
    <col min="9224" max="9224" width="20.6640625" style="516" customWidth="1"/>
    <col min="9225" max="9225" width="18.5546875" style="516" customWidth="1"/>
    <col min="9226" max="9465" width="8.6640625" style="516"/>
    <col min="9466" max="9466" width="4.33203125" style="516" customWidth="1"/>
    <col min="9467" max="9467" width="2.88671875" style="516" customWidth="1"/>
    <col min="9468" max="9468" width="27.88671875" style="516" customWidth="1"/>
    <col min="9469" max="9469" width="4.33203125" style="516" customWidth="1"/>
    <col min="9470" max="9470" width="9.33203125" style="516" customWidth="1"/>
    <col min="9471" max="9471" width="4.33203125" style="516" customWidth="1"/>
    <col min="9472" max="9472" width="9.33203125" style="516" customWidth="1"/>
    <col min="9473" max="9473" width="4.33203125" style="516" customWidth="1"/>
    <col min="9474" max="9474" width="9.33203125" style="516" customWidth="1"/>
    <col min="9475" max="9475" width="4.33203125" style="516" customWidth="1"/>
    <col min="9476" max="9476" width="9.33203125" style="516" customWidth="1"/>
    <col min="9477" max="9477" width="2.88671875" style="516" customWidth="1"/>
    <col min="9478" max="9478" width="4.33203125" style="516" customWidth="1"/>
    <col min="9479" max="9479" width="2.88671875" style="516" customWidth="1"/>
    <col min="9480" max="9480" width="20.6640625" style="516" customWidth="1"/>
    <col min="9481" max="9481" width="18.5546875" style="516" customWidth="1"/>
    <col min="9482" max="9721" width="8.6640625" style="516"/>
    <col min="9722" max="9722" width="4.33203125" style="516" customWidth="1"/>
    <col min="9723" max="9723" width="2.88671875" style="516" customWidth="1"/>
    <col min="9724" max="9724" width="27.88671875" style="516" customWidth="1"/>
    <col min="9725" max="9725" width="4.33203125" style="516" customWidth="1"/>
    <col min="9726" max="9726" width="9.33203125" style="516" customWidth="1"/>
    <col min="9727" max="9727" width="4.33203125" style="516" customWidth="1"/>
    <col min="9728" max="9728" width="9.33203125" style="516" customWidth="1"/>
    <col min="9729" max="9729" width="4.33203125" style="516" customWidth="1"/>
    <col min="9730" max="9730" width="9.33203125" style="516" customWidth="1"/>
    <col min="9731" max="9731" width="4.33203125" style="516" customWidth="1"/>
    <col min="9732" max="9732" width="9.33203125" style="516" customWidth="1"/>
    <col min="9733" max="9733" width="2.88671875" style="516" customWidth="1"/>
    <col min="9734" max="9734" width="4.33203125" style="516" customWidth="1"/>
    <col min="9735" max="9735" width="2.88671875" style="516" customWidth="1"/>
    <col min="9736" max="9736" width="20.6640625" style="516" customWidth="1"/>
    <col min="9737" max="9737" width="18.5546875" style="516" customWidth="1"/>
    <col min="9738" max="9977" width="8.6640625" style="516"/>
    <col min="9978" max="9978" width="4.33203125" style="516" customWidth="1"/>
    <col min="9979" max="9979" width="2.88671875" style="516" customWidth="1"/>
    <col min="9980" max="9980" width="27.88671875" style="516" customWidth="1"/>
    <col min="9981" max="9981" width="4.33203125" style="516" customWidth="1"/>
    <col min="9982" max="9982" width="9.33203125" style="516" customWidth="1"/>
    <col min="9983" max="9983" width="4.33203125" style="516" customWidth="1"/>
    <col min="9984" max="9984" width="9.33203125" style="516" customWidth="1"/>
    <col min="9985" max="9985" width="4.33203125" style="516" customWidth="1"/>
    <col min="9986" max="9986" width="9.33203125" style="516" customWidth="1"/>
    <col min="9987" max="9987" width="4.33203125" style="516" customWidth="1"/>
    <col min="9988" max="9988" width="9.33203125" style="516" customWidth="1"/>
    <col min="9989" max="9989" width="2.88671875" style="516" customWidth="1"/>
    <col min="9990" max="9990" width="4.33203125" style="516" customWidth="1"/>
    <col min="9991" max="9991" width="2.88671875" style="516" customWidth="1"/>
    <col min="9992" max="9992" width="20.6640625" style="516" customWidth="1"/>
    <col min="9993" max="9993" width="18.5546875" style="516" customWidth="1"/>
    <col min="9994" max="10233" width="8.6640625" style="516"/>
    <col min="10234" max="10234" width="4.33203125" style="516" customWidth="1"/>
    <col min="10235" max="10235" width="2.88671875" style="516" customWidth="1"/>
    <col min="10236" max="10236" width="27.88671875" style="516" customWidth="1"/>
    <col min="10237" max="10237" width="4.33203125" style="516" customWidth="1"/>
    <col min="10238" max="10238" width="9.33203125" style="516" customWidth="1"/>
    <col min="10239" max="10239" width="4.33203125" style="516" customWidth="1"/>
    <col min="10240" max="10240" width="9.33203125" style="516" customWidth="1"/>
    <col min="10241" max="10241" width="4.33203125" style="516" customWidth="1"/>
    <col min="10242" max="10242" width="9.33203125" style="516" customWidth="1"/>
    <col min="10243" max="10243" width="4.33203125" style="516" customWidth="1"/>
    <col min="10244" max="10244" width="9.33203125" style="516" customWidth="1"/>
    <col min="10245" max="10245" width="2.88671875" style="516" customWidth="1"/>
    <col min="10246" max="10246" width="4.33203125" style="516" customWidth="1"/>
    <col min="10247" max="10247" width="2.88671875" style="516" customWidth="1"/>
    <col min="10248" max="10248" width="20.6640625" style="516" customWidth="1"/>
    <col min="10249" max="10249" width="18.5546875" style="516" customWidth="1"/>
    <col min="10250" max="10489" width="8.6640625" style="516"/>
    <col min="10490" max="10490" width="4.33203125" style="516" customWidth="1"/>
    <col min="10491" max="10491" width="2.88671875" style="516" customWidth="1"/>
    <col min="10492" max="10492" width="27.88671875" style="516" customWidth="1"/>
    <col min="10493" max="10493" width="4.33203125" style="516" customWidth="1"/>
    <col min="10494" max="10494" width="9.33203125" style="516" customWidth="1"/>
    <col min="10495" max="10495" width="4.33203125" style="516" customWidth="1"/>
    <col min="10496" max="10496" width="9.33203125" style="516" customWidth="1"/>
    <col min="10497" max="10497" width="4.33203125" style="516" customWidth="1"/>
    <col min="10498" max="10498" width="9.33203125" style="516" customWidth="1"/>
    <col min="10499" max="10499" width="4.33203125" style="516" customWidth="1"/>
    <col min="10500" max="10500" width="9.33203125" style="516" customWidth="1"/>
    <col min="10501" max="10501" width="2.88671875" style="516" customWidth="1"/>
    <col min="10502" max="10502" width="4.33203125" style="516" customWidth="1"/>
    <col min="10503" max="10503" width="2.88671875" style="516" customWidth="1"/>
    <col min="10504" max="10504" width="20.6640625" style="516" customWidth="1"/>
    <col min="10505" max="10505" width="18.5546875" style="516" customWidth="1"/>
    <col min="10506" max="10745" width="8.6640625" style="516"/>
    <col min="10746" max="10746" width="4.33203125" style="516" customWidth="1"/>
    <col min="10747" max="10747" width="2.88671875" style="516" customWidth="1"/>
    <col min="10748" max="10748" width="27.88671875" style="516" customWidth="1"/>
    <col min="10749" max="10749" width="4.33203125" style="516" customWidth="1"/>
    <col min="10750" max="10750" width="9.33203125" style="516" customWidth="1"/>
    <col min="10751" max="10751" width="4.33203125" style="516" customWidth="1"/>
    <col min="10752" max="10752" width="9.33203125" style="516" customWidth="1"/>
    <col min="10753" max="10753" width="4.33203125" style="516" customWidth="1"/>
    <col min="10754" max="10754" width="9.33203125" style="516" customWidth="1"/>
    <col min="10755" max="10755" width="4.33203125" style="516" customWidth="1"/>
    <col min="10756" max="10756" width="9.33203125" style="516" customWidth="1"/>
    <col min="10757" max="10757" width="2.88671875" style="516" customWidth="1"/>
    <col min="10758" max="10758" width="4.33203125" style="516" customWidth="1"/>
    <col min="10759" max="10759" width="2.88671875" style="516" customWidth="1"/>
    <col min="10760" max="10760" width="20.6640625" style="516" customWidth="1"/>
    <col min="10761" max="10761" width="18.5546875" style="516" customWidth="1"/>
    <col min="10762" max="11001" width="8.6640625" style="516"/>
    <col min="11002" max="11002" width="4.33203125" style="516" customWidth="1"/>
    <col min="11003" max="11003" width="2.88671875" style="516" customWidth="1"/>
    <col min="11004" max="11004" width="27.88671875" style="516" customWidth="1"/>
    <col min="11005" max="11005" width="4.33203125" style="516" customWidth="1"/>
    <col min="11006" max="11006" width="9.33203125" style="516" customWidth="1"/>
    <col min="11007" max="11007" width="4.33203125" style="516" customWidth="1"/>
    <col min="11008" max="11008" width="9.33203125" style="516" customWidth="1"/>
    <col min="11009" max="11009" width="4.33203125" style="516" customWidth="1"/>
    <col min="11010" max="11010" width="9.33203125" style="516" customWidth="1"/>
    <col min="11011" max="11011" width="4.33203125" style="516" customWidth="1"/>
    <col min="11012" max="11012" width="9.33203125" style="516" customWidth="1"/>
    <col min="11013" max="11013" width="2.88671875" style="516" customWidth="1"/>
    <col min="11014" max="11014" width="4.33203125" style="516" customWidth="1"/>
    <col min="11015" max="11015" width="2.88671875" style="516" customWidth="1"/>
    <col min="11016" max="11016" width="20.6640625" style="516" customWidth="1"/>
    <col min="11017" max="11017" width="18.5546875" style="516" customWidth="1"/>
    <col min="11018" max="11257" width="8.6640625" style="516"/>
    <col min="11258" max="11258" width="4.33203125" style="516" customWidth="1"/>
    <col min="11259" max="11259" width="2.88671875" style="516" customWidth="1"/>
    <col min="11260" max="11260" width="27.88671875" style="516" customWidth="1"/>
    <col min="11261" max="11261" width="4.33203125" style="516" customWidth="1"/>
    <col min="11262" max="11262" width="9.33203125" style="516" customWidth="1"/>
    <col min="11263" max="11263" width="4.33203125" style="516" customWidth="1"/>
    <col min="11264" max="11264" width="9.33203125" style="516" customWidth="1"/>
    <col min="11265" max="11265" width="4.33203125" style="516" customWidth="1"/>
    <col min="11266" max="11266" width="9.33203125" style="516" customWidth="1"/>
    <col min="11267" max="11267" width="4.33203125" style="516" customWidth="1"/>
    <col min="11268" max="11268" width="9.33203125" style="516" customWidth="1"/>
    <col min="11269" max="11269" width="2.88671875" style="516" customWidth="1"/>
    <col min="11270" max="11270" width="4.33203125" style="516" customWidth="1"/>
    <col min="11271" max="11271" width="2.88671875" style="516" customWidth="1"/>
    <col min="11272" max="11272" width="20.6640625" style="516" customWidth="1"/>
    <col min="11273" max="11273" width="18.5546875" style="516" customWidth="1"/>
    <col min="11274" max="11513" width="8.6640625" style="516"/>
    <col min="11514" max="11514" width="4.33203125" style="516" customWidth="1"/>
    <col min="11515" max="11515" width="2.88671875" style="516" customWidth="1"/>
    <col min="11516" max="11516" width="27.88671875" style="516" customWidth="1"/>
    <col min="11517" max="11517" width="4.33203125" style="516" customWidth="1"/>
    <col min="11518" max="11518" width="9.33203125" style="516" customWidth="1"/>
    <col min="11519" max="11519" width="4.33203125" style="516" customWidth="1"/>
    <col min="11520" max="11520" width="9.33203125" style="516" customWidth="1"/>
    <col min="11521" max="11521" width="4.33203125" style="516" customWidth="1"/>
    <col min="11522" max="11522" width="9.33203125" style="516" customWidth="1"/>
    <col min="11523" max="11523" width="4.33203125" style="516" customWidth="1"/>
    <col min="11524" max="11524" width="9.33203125" style="516" customWidth="1"/>
    <col min="11525" max="11525" width="2.88671875" style="516" customWidth="1"/>
    <col min="11526" max="11526" width="4.33203125" style="516" customWidth="1"/>
    <col min="11527" max="11527" width="2.88671875" style="516" customWidth="1"/>
    <col min="11528" max="11528" width="20.6640625" style="516" customWidth="1"/>
    <col min="11529" max="11529" width="18.5546875" style="516" customWidth="1"/>
    <col min="11530" max="11769" width="8.6640625" style="516"/>
    <col min="11770" max="11770" width="4.33203125" style="516" customWidth="1"/>
    <col min="11771" max="11771" width="2.88671875" style="516" customWidth="1"/>
    <col min="11772" max="11772" width="27.88671875" style="516" customWidth="1"/>
    <col min="11773" max="11773" width="4.33203125" style="516" customWidth="1"/>
    <col min="11774" max="11774" width="9.33203125" style="516" customWidth="1"/>
    <col min="11775" max="11775" width="4.33203125" style="516" customWidth="1"/>
    <col min="11776" max="11776" width="9.33203125" style="516" customWidth="1"/>
    <col min="11777" max="11777" width="4.33203125" style="516" customWidth="1"/>
    <col min="11778" max="11778" width="9.33203125" style="516" customWidth="1"/>
    <col min="11779" max="11779" width="4.33203125" style="516" customWidth="1"/>
    <col min="11780" max="11780" width="9.33203125" style="516" customWidth="1"/>
    <col min="11781" max="11781" width="2.88671875" style="516" customWidth="1"/>
    <col min="11782" max="11782" width="4.33203125" style="516" customWidth="1"/>
    <col min="11783" max="11783" width="2.88671875" style="516" customWidth="1"/>
    <col min="11784" max="11784" width="20.6640625" style="516" customWidth="1"/>
    <col min="11785" max="11785" width="18.5546875" style="516" customWidth="1"/>
    <col min="11786" max="12025" width="8.6640625" style="516"/>
    <col min="12026" max="12026" width="4.33203125" style="516" customWidth="1"/>
    <col min="12027" max="12027" width="2.88671875" style="516" customWidth="1"/>
    <col min="12028" max="12028" width="27.88671875" style="516" customWidth="1"/>
    <col min="12029" max="12029" width="4.33203125" style="516" customWidth="1"/>
    <col min="12030" max="12030" width="9.33203125" style="516" customWidth="1"/>
    <col min="12031" max="12031" width="4.33203125" style="516" customWidth="1"/>
    <col min="12032" max="12032" width="9.33203125" style="516" customWidth="1"/>
    <col min="12033" max="12033" width="4.33203125" style="516" customWidth="1"/>
    <col min="12034" max="12034" width="9.33203125" style="516" customWidth="1"/>
    <col min="12035" max="12035" width="4.33203125" style="516" customWidth="1"/>
    <col min="12036" max="12036" width="9.33203125" style="516" customWidth="1"/>
    <col min="12037" max="12037" width="2.88671875" style="516" customWidth="1"/>
    <col min="12038" max="12038" width="4.33203125" style="516" customWidth="1"/>
    <col min="12039" max="12039" width="2.88671875" style="516" customWidth="1"/>
    <col min="12040" max="12040" width="20.6640625" style="516" customWidth="1"/>
    <col min="12041" max="12041" width="18.5546875" style="516" customWidth="1"/>
    <col min="12042" max="12281" width="8.6640625" style="516"/>
    <col min="12282" max="12282" width="4.33203125" style="516" customWidth="1"/>
    <col min="12283" max="12283" width="2.88671875" style="516" customWidth="1"/>
    <col min="12284" max="12284" width="27.88671875" style="516" customWidth="1"/>
    <col min="12285" max="12285" width="4.33203125" style="516" customWidth="1"/>
    <col min="12286" max="12286" width="9.33203125" style="516" customWidth="1"/>
    <col min="12287" max="12287" width="4.33203125" style="516" customWidth="1"/>
    <col min="12288" max="12288" width="9.33203125" style="516" customWidth="1"/>
    <col min="12289" max="12289" width="4.33203125" style="516" customWidth="1"/>
    <col min="12290" max="12290" width="9.33203125" style="516" customWidth="1"/>
    <col min="12291" max="12291" width="4.33203125" style="516" customWidth="1"/>
    <col min="12292" max="12292" width="9.33203125" style="516" customWidth="1"/>
    <col min="12293" max="12293" width="2.88671875" style="516" customWidth="1"/>
    <col min="12294" max="12294" width="4.33203125" style="516" customWidth="1"/>
    <col min="12295" max="12295" width="2.88671875" style="516" customWidth="1"/>
    <col min="12296" max="12296" width="20.6640625" style="516" customWidth="1"/>
    <col min="12297" max="12297" width="18.5546875" style="516" customWidth="1"/>
    <col min="12298" max="12537" width="8.6640625" style="516"/>
    <col min="12538" max="12538" width="4.33203125" style="516" customWidth="1"/>
    <col min="12539" max="12539" width="2.88671875" style="516" customWidth="1"/>
    <col min="12540" max="12540" width="27.88671875" style="516" customWidth="1"/>
    <col min="12541" max="12541" width="4.33203125" style="516" customWidth="1"/>
    <col min="12542" max="12542" width="9.33203125" style="516" customWidth="1"/>
    <col min="12543" max="12543" width="4.33203125" style="516" customWidth="1"/>
    <col min="12544" max="12544" width="9.33203125" style="516" customWidth="1"/>
    <col min="12545" max="12545" width="4.33203125" style="516" customWidth="1"/>
    <col min="12546" max="12546" width="9.33203125" style="516" customWidth="1"/>
    <col min="12547" max="12547" width="4.33203125" style="516" customWidth="1"/>
    <col min="12548" max="12548" width="9.33203125" style="516" customWidth="1"/>
    <col min="12549" max="12549" width="2.88671875" style="516" customWidth="1"/>
    <col min="12550" max="12550" width="4.33203125" style="516" customWidth="1"/>
    <col min="12551" max="12551" width="2.88671875" style="516" customWidth="1"/>
    <col min="12552" max="12552" width="20.6640625" style="516" customWidth="1"/>
    <col min="12553" max="12553" width="18.5546875" style="516" customWidth="1"/>
    <col min="12554" max="12793" width="8.6640625" style="516"/>
    <col min="12794" max="12794" width="4.33203125" style="516" customWidth="1"/>
    <col min="12795" max="12795" width="2.88671875" style="516" customWidth="1"/>
    <col min="12796" max="12796" width="27.88671875" style="516" customWidth="1"/>
    <col min="12797" max="12797" width="4.33203125" style="516" customWidth="1"/>
    <col min="12798" max="12798" width="9.33203125" style="516" customWidth="1"/>
    <col min="12799" max="12799" width="4.33203125" style="516" customWidth="1"/>
    <col min="12800" max="12800" width="9.33203125" style="516" customWidth="1"/>
    <col min="12801" max="12801" width="4.33203125" style="516" customWidth="1"/>
    <col min="12802" max="12802" width="9.33203125" style="516" customWidth="1"/>
    <col min="12803" max="12803" width="4.33203125" style="516" customWidth="1"/>
    <col min="12804" max="12804" width="9.33203125" style="516" customWidth="1"/>
    <col min="12805" max="12805" width="2.88671875" style="516" customWidth="1"/>
    <col min="12806" max="12806" width="4.33203125" style="516" customWidth="1"/>
    <col min="12807" max="12807" width="2.88671875" style="516" customWidth="1"/>
    <col min="12808" max="12808" width="20.6640625" style="516" customWidth="1"/>
    <col min="12809" max="12809" width="18.5546875" style="516" customWidth="1"/>
    <col min="12810" max="13049" width="8.6640625" style="516"/>
    <col min="13050" max="13050" width="4.33203125" style="516" customWidth="1"/>
    <col min="13051" max="13051" width="2.88671875" style="516" customWidth="1"/>
    <col min="13052" max="13052" width="27.88671875" style="516" customWidth="1"/>
    <col min="13053" max="13053" width="4.33203125" style="516" customWidth="1"/>
    <col min="13054" max="13054" width="9.33203125" style="516" customWidth="1"/>
    <col min="13055" max="13055" width="4.33203125" style="516" customWidth="1"/>
    <col min="13056" max="13056" width="9.33203125" style="516" customWidth="1"/>
    <col min="13057" max="13057" width="4.33203125" style="516" customWidth="1"/>
    <col min="13058" max="13058" width="9.33203125" style="516" customWidth="1"/>
    <col min="13059" max="13059" width="4.33203125" style="516" customWidth="1"/>
    <col min="13060" max="13060" width="9.33203125" style="516" customWidth="1"/>
    <col min="13061" max="13061" width="2.88671875" style="516" customWidth="1"/>
    <col min="13062" max="13062" width="4.33203125" style="516" customWidth="1"/>
    <col min="13063" max="13063" width="2.88671875" style="516" customWidth="1"/>
    <col min="13064" max="13064" width="20.6640625" style="516" customWidth="1"/>
    <col min="13065" max="13065" width="18.5546875" style="516" customWidth="1"/>
    <col min="13066" max="13305" width="8.6640625" style="516"/>
    <col min="13306" max="13306" width="4.33203125" style="516" customWidth="1"/>
    <col min="13307" max="13307" width="2.88671875" style="516" customWidth="1"/>
    <col min="13308" max="13308" width="27.88671875" style="516" customWidth="1"/>
    <col min="13309" max="13309" width="4.33203125" style="516" customWidth="1"/>
    <col min="13310" max="13310" width="9.33203125" style="516" customWidth="1"/>
    <col min="13311" max="13311" width="4.33203125" style="516" customWidth="1"/>
    <col min="13312" max="13312" width="9.33203125" style="516" customWidth="1"/>
    <col min="13313" max="13313" width="4.33203125" style="516" customWidth="1"/>
    <col min="13314" max="13314" width="9.33203125" style="516" customWidth="1"/>
    <col min="13315" max="13315" width="4.33203125" style="516" customWidth="1"/>
    <col min="13316" max="13316" width="9.33203125" style="516" customWidth="1"/>
    <col min="13317" max="13317" width="2.88671875" style="516" customWidth="1"/>
    <col min="13318" max="13318" width="4.33203125" style="516" customWidth="1"/>
    <col min="13319" max="13319" width="2.88671875" style="516" customWidth="1"/>
    <col min="13320" max="13320" width="20.6640625" style="516" customWidth="1"/>
    <col min="13321" max="13321" width="18.5546875" style="516" customWidth="1"/>
    <col min="13322" max="13561" width="8.6640625" style="516"/>
    <col min="13562" max="13562" width="4.33203125" style="516" customWidth="1"/>
    <col min="13563" max="13563" width="2.88671875" style="516" customWidth="1"/>
    <col min="13564" max="13564" width="27.88671875" style="516" customWidth="1"/>
    <col min="13565" max="13565" width="4.33203125" style="516" customWidth="1"/>
    <col min="13566" max="13566" width="9.33203125" style="516" customWidth="1"/>
    <col min="13567" max="13567" width="4.33203125" style="516" customWidth="1"/>
    <col min="13568" max="13568" width="9.33203125" style="516" customWidth="1"/>
    <col min="13569" max="13569" width="4.33203125" style="516" customWidth="1"/>
    <col min="13570" max="13570" width="9.33203125" style="516" customWidth="1"/>
    <col min="13571" max="13571" width="4.33203125" style="516" customWidth="1"/>
    <col min="13572" max="13572" width="9.33203125" style="516" customWidth="1"/>
    <col min="13573" max="13573" width="2.88671875" style="516" customWidth="1"/>
    <col min="13574" max="13574" width="4.33203125" style="516" customWidth="1"/>
    <col min="13575" max="13575" width="2.88671875" style="516" customWidth="1"/>
    <col min="13576" max="13576" width="20.6640625" style="516" customWidth="1"/>
    <col min="13577" max="13577" width="18.5546875" style="516" customWidth="1"/>
    <col min="13578" max="13817" width="8.6640625" style="516"/>
    <col min="13818" max="13818" width="4.33203125" style="516" customWidth="1"/>
    <col min="13819" max="13819" width="2.88671875" style="516" customWidth="1"/>
    <col min="13820" max="13820" width="27.88671875" style="516" customWidth="1"/>
    <col min="13821" max="13821" width="4.33203125" style="516" customWidth="1"/>
    <col min="13822" max="13822" width="9.33203125" style="516" customWidth="1"/>
    <col min="13823" max="13823" width="4.33203125" style="516" customWidth="1"/>
    <col min="13824" max="13824" width="9.33203125" style="516" customWidth="1"/>
    <col min="13825" max="13825" width="4.33203125" style="516" customWidth="1"/>
    <col min="13826" max="13826" width="9.33203125" style="516" customWidth="1"/>
    <col min="13827" max="13827" width="4.33203125" style="516" customWidth="1"/>
    <col min="13828" max="13828" width="9.33203125" style="516" customWidth="1"/>
    <col min="13829" max="13829" width="2.88671875" style="516" customWidth="1"/>
    <col min="13830" max="13830" width="4.33203125" style="516" customWidth="1"/>
    <col min="13831" max="13831" width="2.88671875" style="516" customWidth="1"/>
    <col min="13832" max="13832" width="20.6640625" style="516" customWidth="1"/>
    <col min="13833" max="13833" width="18.5546875" style="516" customWidth="1"/>
    <col min="13834" max="14073" width="8.6640625" style="516"/>
    <col min="14074" max="14074" width="4.33203125" style="516" customWidth="1"/>
    <col min="14075" max="14075" width="2.88671875" style="516" customWidth="1"/>
    <col min="14076" max="14076" width="27.88671875" style="516" customWidth="1"/>
    <col min="14077" max="14077" width="4.33203125" style="516" customWidth="1"/>
    <col min="14078" max="14078" width="9.33203125" style="516" customWidth="1"/>
    <col min="14079" max="14079" width="4.33203125" style="516" customWidth="1"/>
    <col min="14080" max="14080" width="9.33203125" style="516" customWidth="1"/>
    <col min="14081" max="14081" width="4.33203125" style="516" customWidth="1"/>
    <col min="14082" max="14082" width="9.33203125" style="516" customWidth="1"/>
    <col min="14083" max="14083" width="4.33203125" style="516" customWidth="1"/>
    <col min="14084" max="14084" width="9.33203125" style="516" customWidth="1"/>
    <col min="14085" max="14085" width="2.88671875" style="516" customWidth="1"/>
    <col min="14086" max="14086" width="4.33203125" style="516" customWidth="1"/>
    <col min="14087" max="14087" width="2.88671875" style="516" customWidth="1"/>
    <col min="14088" max="14088" width="20.6640625" style="516" customWidth="1"/>
    <col min="14089" max="14089" width="18.5546875" style="516" customWidth="1"/>
    <col min="14090" max="14329" width="8.6640625" style="516"/>
    <col min="14330" max="14330" width="4.33203125" style="516" customWidth="1"/>
    <col min="14331" max="14331" width="2.88671875" style="516" customWidth="1"/>
    <col min="14332" max="14332" width="27.88671875" style="516" customWidth="1"/>
    <col min="14333" max="14333" width="4.33203125" style="516" customWidth="1"/>
    <col min="14334" max="14334" width="9.33203125" style="516" customWidth="1"/>
    <col min="14335" max="14335" width="4.33203125" style="516" customWidth="1"/>
    <col min="14336" max="14336" width="9.33203125" style="516" customWidth="1"/>
    <col min="14337" max="14337" width="4.33203125" style="516" customWidth="1"/>
    <col min="14338" max="14338" width="9.33203125" style="516" customWidth="1"/>
    <col min="14339" max="14339" width="4.33203125" style="516" customWidth="1"/>
    <col min="14340" max="14340" width="9.33203125" style="516" customWidth="1"/>
    <col min="14341" max="14341" width="2.88671875" style="516" customWidth="1"/>
    <col min="14342" max="14342" width="4.33203125" style="516" customWidth="1"/>
    <col min="14343" max="14343" width="2.88671875" style="516" customWidth="1"/>
    <col min="14344" max="14344" width="20.6640625" style="516" customWidth="1"/>
    <col min="14345" max="14345" width="18.5546875" style="516" customWidth="1"/>
    <col min="14346" max="14585" width="8.6640625" style="516"/>
    <col min="14586" max="14586" width="4.33203125" style="516" customWidth="1"/>
    <col min="14587" max="14587" width="2.88671875" style="516" customWidth="1"/>
    <col min="14588" max="14588" width="27.88671875" style="516" customWidth="1"/>
    <col min="14589" max="14589" width="4.33203125" style="516" customWidth="1"/>
    <col min="14590" max="14590" width="9.33203125" style="516" customWidth="1"/>
    <col min="14591" max="14591" width="4.33203125" style="516" customWidth="1"/>
    <col min="14592" max="14592" width="9.33203125" style="516" customWidth="1"/>
    <col min="14593" max="14593" width="4.33203125" style="516" customWidth="1"/>
    <col min="14594" max="14594" width="9.33203125" style="516" customWidth="1"/>
    <col min="14595" max="14595" width="4.33203125" style="516" customWidth="1"/>
    <col min="14596" max="14596" width="9.33203125" style="516" customWidth="1"/>
    <col min="14597" max="14597" width="2.88671875" style="516" customWidth="1"/>
    <col min="14598" max="14598" width="4.33203125" style="516" customWidth="1"/>
    <col min="14599" max="14599" width="2.88671875" style="516" customWidth="1"/>
    <col min="14600" max="14600" width="20.6640625" style="516" customWidth="1"/>
    <col min="14601" max="14601" width="18.5546875" style="516" customWidth="1"/>
    <col min="14602" max="14841" width="8.6640625" style="516"/>
    <col min="14842" max="14842" width="4.33203125" style="516" customWidth="1"/>
    <col min="14843" max="14843" width="2.88671875" style="516" customWidth="1"/>
    <col min="14844" max="14844" width="27.88671875" style="516" customWidth="1"/>
    <col min="14845" max="14845" width="4.33203125" style="516" customWidth="1"/>
    <col min="14846" max="14846" width="9.33203125" style="516" customWidth="1"/>
    <col min="14847" max="14847" width="4.33203125" style="516" customWidth="1"/>
    <col min="14848" max="14848" width="9.33203125" style="516" customWidth="1"/>
    <col min="14849" max="14849" width="4.33203125" style="516" customWidth="1"/>
    <col min="14850" max="14850" width="9.33203125" style="516" customWidth="1"/>
    <col min="14851" max="14851" width="4.33203125" style="516" customWidth="1"/>
    <col min="14852" max="14852" width="9.33203125" style="516" customWidth="1"/>
    <col min="14853" max="14853" width="2.88671875" style="516" customWidth="1"/>
    <col min="14854" max="14854" width="4.33203125" style="516" customWidth="1"/>
    <col min="14855" max="14855" width="2.88671875" style="516" customWidth="1"/>
    <col min="14856" max="14856" width="20.6640625" style="516" customWidth="1"/>
    <col min="14857" max="14857" width="18.5546875" style="516" customWidth="1"/>
    <col min="14858" max="15097" width="8.6640625" style="516"/>
    <col min="15098" max="15098" width="4.33203125" style="516" customWidth="1"/>
    <col min="15099" max="15099" width="2.88671875" style="516" customWidth="1"/>
    <col min="15100" max="15100" width="27.88671875" style="516" customWidth="1"/>
    <col min="15101" max="15101" width="4.33203125" style="516" customWidth="1"/>
    <col min="15102" max="15102" width="9.33203125" style="516" customWidth="1"/>
    <col min="15103" max="15103" width="4.33203125" style="516" customWidth="1"/>
    <col min="15104" max="15104" width="9.33203125" style="516" customWidth="1"/>
    <col min="15105" max="15105" width="4.33203125" style="516" customWidth="1"/>
    <col min="15106" max="15106" width="9.33203125" style="516" customWidth="1"/>
    <col min="15107" max="15107" width="4.33203125" style="516" customWidth="1"/>
    <col min="15108" max="15108" width="9.33203125" style="516" customWidth="1"/>
    <col min="15109" max="15109" width="2.88671875" style="516" customWidth="1"/>
    <col min="15110" max="15110" width="4.33203125" style="516" customWidth="1"/>
    <col min="15111" max="15111" width="2.88671875" style="516" customWidth="1"/>
    <col min="15112" max="15112" width="20.6640625" style="516" customWidth="1"/>
    <col min="15113" max="15113" width="18.5546875" style="516" customWidth="1"/>
    <col min="15114" max="15353" width="8.6640625" style="516"/>
    <col min="15354" max="15354" width="4.33203125" style="516" customWidth="1"/>
    <col min="15355" max="15355" width="2.88671875" style="516" customWidth="1"/>
    <col min="15356" max="15356" width="27.88671875" style="516" customWidth="1"/>
    <col min="15357" max="15357" width="4.33203125" style="516" customWidth="1"/>
    <col min="15358" max="15358" width="9.33203125" style="516" customWidth="1"/>
    <col min="15359" max="15359" width="4.33203125" style="516" customWidth="1"/>
    <col min="15360" max="15360" width="9.33203125" style="516" customWidth="1"/>
    <col min="15361" max="15361" width="4.33203125" style="516" customWidth="1"/>
    <col min="15362" max="15362" width="9.33203125" style="516" customWidth="1"/>
    <col min="15363" max="15363" width="4.33203125" style="516" customWidth="1"/>
    <col min="15364" max="15364" width="9.33203125" style="516" customWidth="1"/>
    <col min="15365" max="15365" width="2.88671875" style="516" customWidth="1"/>
    <col min="15366" max="15366" width="4.33203125" style="516" customWidth="1"/>
    <col min="15367" max="15367" width="2.88671875" style="516" customWidth="1"/>
    <col min="15368" max="15368" width="20.6640625" style="516" customWidth="1"/>
    <col min="15369" max="15369" width="18.5546875" style="516" customWidth="1"/>
    <col min="15370" max="15609" width="8.6640625" style="516"/>
    <col min="15610" max="15610" width="4.33203125" style="516" customWidth="1"/>
    <col min="15611" max="15611" width="2.88671875" style="516" customWidth="1"/>
    <col min="15612" max="15612" width="27.88671875" style="516" customWidth="1"/>
    <col min="15613" max="15613" width="4.33203125" style="516" customWidth="1"/>
    <col min="15614" max="15614" width="9.33203125" style="516" customWidth="1"/>
    <col min="15615" max="15615" width="4.33203125" style="516" customWidth="1"/>
    <col min="15616" max="15616" width="9.33203125" style="516" customWidth="1"/>
    <col min="15617" max="15617" width="4.33203125" style="516" customWidth="1"/>
    <col min="15618" max="15618" width="9.33203125" style="516" customWidth="1"/>
    <col min="15619" max="15619" width="4.33203125" style="516" customWidth="1"/>
    <col min="15620" max="15620" width="9.33203125" style="516" customWidth="1"/>
    <col min="15621" max="15621" width="2.88671875" style="516" customWidth="1"/>
    <col min="15622" max="15622" width="4.33203125" style="516" customWidth="1"/>
    <col min="15623" max="15623" width="2.88671875" style="516" customWidth="1"/>
    <col min="15624" max="15624" width="20.6640625" style="516" customWidth="1"/>
    <col min="15625" max="15625" width="18.5546875" style="516" customWidth="1"/>
    <col min="15626" max="15865" width="8.6640625" style="516"/>
    <col min="15866" max="15866" width="4.33203125" style="516" customWidth="1"/>
    <col min="15867" max="15867" width="2.88671875" style="516" customWidth="1"/>
    <col min="15868" max="15868" width="27.88671875" style="516" customWidth="1"/>
    <col min="15869" max="15869" width="4.33203125" style="516" customWidth="1"/>
    <col min="15870" max="15870" width="9.33203125" style="516" customWidth="1"/>
    <col min="15871" max="15871" width="4.33203125" style="516" customWidth="1"/>
    <col min="15872" max="15872" width="9.33203125" style="516" customWidth="1"/>
    <col min="15873" max="15873" width="4.33203125" style="516" customWidth="1"/>
    <col min="15874" max="15874" width="9.33203125" style="516" customWidth="1"/>
    <col min="15875" max="15875" width="4.33203125" style="516" customWidth="1"/>
    <col min="15876" max="15876" width="9.33203125" style="516" customWidth="1"/>
    <col min="15877" max="15877" width="2.88671875" style="516" customWidth="1"/>
    <col min="15878" max="15878" width="4.33203125" style="516" customWidth="1"/>
    <col min="15879" max="15879" width="2.88671875" style="516" customWidth="1"/>
    <col min="15880" max="15880" width="20.6640625" style="516" customWidth="1"/>
    <col min="15881" max="15881" width="18.5546875" style="516" customWidth="1"/>
    <col min="15882" max="16121" width="8.6640625" style="516"/>
    <col min="16122" max="16122" width="4.33203125" style="516" customWidth="1"/>
    <col min="16123" max="16123" width="2.88671875" style="516" customWidth="1"/>
    <col min="16124" max="16124" width="27.88671875" style="516" customWidth="1"/>
    <col min="16125" max="16125" width="4.33203125" style="516" customWidth="1"/>
    <col min="16126" max="16126" width="9.33203125" style="516" customWidth="1"/>
    <col min="16127" max="16127" width="4.33203125" style="516" customWidth="1"/>
    <col min="16128" max="16128" width="9.33203125" style="516" customWidth="1"/>
    <col min="16129" max="16129" width="4.33203125" style="516" customWidth="1"/>
    <col min="16130" max="16130" width="9.33203125" style="516" customWidth="1"/>
    <col min="16131" max="16131" width="4.33203125" style="516" customWidth="1"/>
    <col min="16132" max="16132" width="9.33203125" style="516" customWidth="1"/>
    <col min="16133" max="16133" width="2.88671875" style="516" customWidth="1"/>
    <col min="16134" max="16134" width="4.33203125" style="516" customWidth="1"/>
    <col min="16135" max="16135" width="2.88671875" style="516" customWidth="1"/>
    <col min="16136" max="16136" width="20.6640625" style="516" customWidth="1"/>
    <col min="16137" max="16137" width="18.5546875" style="516" customWidth="1"/>
    <col min="16138" max="16377" width="8.6640625" style="516"/>
    <col min="16378" max="16384" width="8.6640625" style="516" customWidth="1"/>
  </cols>
  <sheetData>
    <row r="1" spans="1:13">
      <c r="A1" s="156" t="s">
        <v>181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485" t="s">
        <v>1181</v>
      </c>
    </row>
    <row r="2" spans="1:13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485" t="s">
        <v>1046</v>
      </c>
    </row>
    <row r="3" spans="1:13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  <c r="L3" s="1166"/>
      <c r="M3" s="1166"/>
    </row>
    <row r="4" spans="1:13">
      <c r="A4" s="1166" t="s">
        <v>1182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  <c r="L4" s="1166"/>
      <c r="M4" s="1166"/>
    </row>
    <row r="5" spans="1:13">
      <c r="A5" s="1166" t="s">
        <v>1525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</row>
    <row r="6" spans="1:13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  <c r="L6" s="1166"/>
      <c r="M6" s="1166"/>
    </row>
    <row r="7" spans="1:13">
      <c r="A7" s="486"/>
      <c r="B7" s="486"/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</row>
    <row r="8" spans="1:13">
      <c r="A8" s="156"/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</row>
    <row r="9" spans="1:13">
      <c r="A9" s="156"/>
      <c r="B9" s="156"/>
      <c r="C9" s="156"/>
      <c r="D9" s="156"/>
      <c r="E9" s="1184" t="s">
        <v>894</v>
      </c>
      <c r="F9" s="1184"/>
      <c r="G9" s="1184"/>
      <c r="H9" s="156"/>
      <c r="I9" s="156"/>
      <c r="J9" s="156"/>
      <c r="K9" s="156"/>
      <c r="L9" s="156"/>
      <c r="M9" s="156"/>
    </row>
    <row r="10" spans="1:13" s="524" customFormat="1" ht="30.6">
      <c r="A10" s="158" t="s">
        <v>800</v>
      </c>
      <c r="B10" s="159"/>
      <c r="C10" s="1128" t="s">
        <v>1212</v>
      </c>
      <c r="D10" s="159"/>
      <c r="E10" s="158" t="s">
        <v>690</v>
      </c>
      <c r="F10" s="159"/>
      <c r="G10" s="158" t="s">
        <v>1038</v>
      </c>
      <c r="H10" s="159"/>
      <c r="I10" s="158" t="s">
        <v>700</v>
      </c>
      <c r="J10" s="159"/>
      <c r="K10" s="158" t="s">
        <v>1938</v>
      </c>
      <c r="L10" s="159"/>
      <c r="M10" s="158" t="s">
        <v>800</v>
      </c>
    </row>
    <row r="11" spans="1:13">
      <c r="A11" s="156"/>
      <c r="B11" s="156"/>
      <c r="C11" s="156"/>
      <c r="D11" s="156"/>
      <c r="E11" s="160"/>
      <c r="F11" s="160"/>
      <c r="G11" s="160"/>
      <c r="H11" s="160"/>
      <c r="I11" s="160"/>
      <c r="J11" s="160"/>
      <c r="K11" s="160"/>
      <c r="L11" s="156"/>
      <c r="M11" s="156"/>
    </row>
    <row r="12" spans="1:13">
      <c r="A12" s="156"/>
      <c r="B12" s="156"/>
      <c r="C12" s="161" t="s">
        <v>1526</v>
      </c>
      <c r="D12" s="156"/>
      <c r="E12" s="156"/>
      <c r="F12" s="156"/>
      <c r="G12" s="156"/>
      <c r="H12" s="156"/>
      <c r="I12" s="156"/>
      <c r="J12" s="156"/>
      <c r="K12" s="156"/>
      <c r="L12" s="156"/>
      <c r="M12" s="156"/>
    </row>
    <row r="13" spans="1:13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</row>
    <row r="14" spans="1:13">
      <c r="A14" s="160">
        <v>1</v>
      </c>
      <c r="B14" s="156"/>
      <c r="C14" s="156" t="s">
        <v>149</v>
      </c>
      <c r="D14" s="485" t="s">
        <v>804</v>
      </c>
      <c r="E14" s="501">
        <f>'D2 P2'!E34</f>
        <v>124269.728</v>
      </c>
      <c r="F14" s="156"/>
      <c r="G14" s="493">
        <f>ROUND(E14/$E$16,3)</f>
        <v>0.433</v>
      </c>
      <c r="H14" s="485" t="s">
        <v>804</v>
      </c>
      <c r="I14" s="493">
        <f>'D2 P2'!I34</f>
        <v>5.1414862676773539E-2</v>
      </c>
      <c r="J14" s="156"/>
      <c r="K14" s="493">
        <f>I14*G14</f>
        <v>2.2262635539042942E-2</v>
      </c>
      <c r="L14" s="156"/>
      <c r="M14" s="160">
        <f>+A14</f>
        <v>1</v>
      </c>
    </row>
    <row r="15" spans="1:13">
      <c r="A15" s="160">
        <f>+A14+1</f>
        <v>2</v>
      </c>
      <c r="B15" s="156"/>
      <c r="C15" s="687" t="s">
        <v>1213</v>
      </c>
      <c r="D15" s="489"/>
      <c r="E15" s="501">
        <v>162949</v>
      </c>
      <c r="F15" s="156"/>
      <c r="G15" s="493">
        <f>ROUND(E15/$E$16,3)</f>
        <v>0.56699999999999995</v>
      </c>
      <c r="H15" s="485" t="s">
        <v>806</v>
      </c>
      <c r="I15" s="493">
        <v>0.10249999999999999</v>
      </c>
      <c r="J15" s="156"/>
      <c r="K15" s="493">
        <f>I15*G15</f>
        <v>5.8117499999999989E-2</v>
      </c>
      <c r="L15" s="156"/>
      <c r="M15" s="160">
        <f>+A15</f>
        <v>2</v>
      </c>
    </row>
    <row r="16" spans="1:13" ht="10.8" thickBot="1">
      <c r="A16" s="160">
        <f>+A15+1</f>
        <v>3</v>
      </c>
      <c r="B16" s="156"/>
      <c r="C16" s="156" t="s">
        <v>1187</v>
      </c>
      <c r="D16" s="156"/>
      <c r="E16" s="506">
        <f>SUM(E14:E15)</f>
        <v>287218.728</v>
      </c>
      <c r="F16" s="156"/>
      <c r="G16" s="1016">
        <f>SUM(G14:G15)</f>
        <v>1</v>
      </c>
      <c r="H16" s="156"/>
      <c r="I16" s="156"/>
      <c r="J16" s="156"/>
      <c r="K16" s="1016">
        <f>SUM(K14:K15)</f>
        <v>8.0380135539042927E-2</v>
      </c>
      <c r="L16" s="156"/>
      <c r="M16" s="160">
        <f>+A16</f>
        <v>3</v>
      </c>
    </row>
    <row r="17" spans="1:13" ht="10.8" thickTop="1">
      <c r="A17" s="160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60"/>
    </row>
    <row r="18" spans="1:13">
      <c r="A18" s="160"/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60"/>
    </row>
    <row r="19" spans="1:13">
      <c r="A19" s="160"/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60"/>
    </row>
    <row r="20" spans="1:13">
      <c r="A20" s="160"/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60"/>
    </row>
    <row r="21" spans="1:13">
      <c r="A21" s="160"/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60"/>
    </row>
    <row r="22" spans="1:13">
      <c r="A22" s="156"/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</row>
    <row r="23" spans="1:13" s="560" customFormat="1">
      <c r="A23" s="161"/>
      <c r="B23" s="161"/>
      <c r="C23" s="512"/>
      <c r="D23" s="512" t="s">
        <v>826</v>
      </c>
      <c r="E23" s="694"/>
      <c r="F23" s="694"/>
      <c r="G23" s="695"/>
      <c r="H23" s="694" t="s">
        <v>990</v>
      </c>
      <c r="I23" s="695"/>
      <c r="J23" s="161"/>
      <c r="K23" s="695"/>
      <c r="L23" s="161"/>
      <c r="M23" s="161"/>
    </row>
    <row r="24" spans="1:13">
      <c r="A24" s="156"/>
      <c r="B24" s="156"/>
      <c r="C24" s="160"/>
      <c r="D24" s="160" t="s">
        <v>1189</v>
      </c>
      <c r="E24" s="486"/>
      <c r="F24" s="486"/>
      <c r="G24" s="489"/>
      <c r="H24" s="486" t="s">
        <v>1214</v>
      </c>
      <c r="I24" s="489"/>
      <c r="J24" s="156"/>
      <c r="K24" s="489"/>
      <c r="L24" s="156"/>
      <c r="M24" s="156"/>
    </row>
    <row r="25" spans="1:13">
      <c r="A25" s="156"/>
      <c r="B25" s="156"/>
      <c r="C25" s="160"/>
      <c r="D25" s="160" t="s">
        <v>1215</v>
      </c>
      <c r="E25" s="486"/>
      <c r="F25" s="486"/>
      <c r="G25" s="489"/>
      <c r="H25" s="486"/>
      <c r="I25" s="489"/>
      <c r="J25" s="156"/>
      <c r="K25" s="489"/>
      <c r="L25" s="156"/>
      <c r="M25" s="156"/>
    </row>
    <row r="26" spans="1:13">
      <c r="C26" s="519"/>
      <c r="D26" s="519"/>
      <c r="E26" s="518"/>
      <c r="F26" s="518"/>
      <c r="G26" s="520"/>
      <c r="H26" s="518"/>
      <c r="I26" s="520"/>
      <c r="K26" s="520"/>
    </row>
    <row r="27" spans="1:13">
      <c r="C27" s="519"/>
      <c r="D27" s="519"/>
      <c r="E27" s="518"/>
      <c r="F27" s="518"/>
      <c r="G27" s="520"/>
      <c r="H27" s="518"/>
      <c r="I27" s="520"/>
      <c r="K27" s="520"/>
    </row>
    <row r="28" spans="1:13">
      <c r="C28" s="519"/>
      <c r="D28" s="519"/>
      <c r="E28" s="518"/>
      <c r="F28" s="518"/>
      <c r="G28" s="520"/>
      <c r="H28" s="518"/>
      <c r="I28" s="520"/>
      <c r="K28" s="520"/>
    </row>
    <row r="30" spans="1:13">
      <c r="A30" s="547"/>
      <c r="E30" s="520"/>
      <c r="G30" s="568"/>
      <c r="I30" s="568"/>
      <c r="K30" s="568"/>
    </row>
    <row r="31" spans="1:13">
      <c r="A31" s="513" t="s">
        <v>1216</v>
      </c>
      <c r="B31" s="156"/>
      <c r="C31" s="156"/>
      <c r="D31" s="156"/>
      <c r="E31" s="513"/>
      <c r="F31" s="156"/>
      <c r="G31" s="727"/>
      <c r="K31" s="568"/>
      <c r="M31" s="519"/>
    </row>
    <row r="33" spans="2:7">
      <c r="B33" s="1197" t="s">
        <v>1217</v>
      </c>
      <c r="C33" s="1197"/>
      <c r="D33" s="1197"/>
      <c r="E33" s="1197"/>
      <c r="F33" s="1197"/>
      <c r="G33" s="1197"/>
    </row>
    <row r="34" spans="2:7">
      <c r="B34" s="1198" t="s">
        <v>1218</v>
      </c>
      <c r="C34" s="1197"/>
      <c r="D34" s="1197"/>
      <c r="E34" s="1197"/>
      <c r="F34" s="1197"/>
      <c r="G34" s="1197"/>
    </row>
    <row r="35" spans="2:7">
      <c r="B35" s="1198" t="s">
        <v>1219</v>
      </c>
      <c r="C35" s="1198"/>
      <c r="D35" s="1198"/>
      <c r="E35" s="1198"/>
      <c r="F35" s="1198"/>
      <c r="G35" s="1198"/>
    </row>
    <row r="36" spans="2:7">
      <c r="B36" s="156"/>
      <c r="C36" s="156"/>
      <c r="D36" s="156"/>
      <c r="E36" s="156"/>
      <c r="F36" s="156"/>
      <c r="G36" s="156"/>
    </row>
    <row r="37" spans="2:7">
      <c r="B37" s="1197" t="s">
        <v>1920</v>
      </c>
      <c r="C37" s="1197"/>
      <c r="D37" s="1197"/>
      <c r="E37" s="1197"/>
      <c r="F37" s="1197"/>
      <c r="G37" s="1197"/>
    </row>
    <row r="38" spans="2:7">
      <c r="B38" s="1197" t="s">
        <v>1921</v>
      </c>
      <c r="C38" s="1197"/>
      <c r="D38" s="1197"/>
      <c r="E38" s="1197"/>
      <c r="F38" s="1197"/>
      <c r="G38" s="1197"/>
    </row>
    <row r="39" spans="2:7">
      <c r="B39" s="663"/>
      <c r="C39" s="663"/>
      <c r="D39" s="663"/>
      <c r="E39" s="663"/>
      <c r="F39" s="663"/>
      <c r="G39" s="663"/>
    </row>
    <row r="40" spans="2:7">
      <c r="B40" s="1197" t="s">
        <v>1201</v>
      </c>
      <c r="C40" s="1197"/>
      <c r="D40" s="1197"/>
      <c r="E40" s="1197"/>
      <c r="F40" s="1197"/>
      <c r="G40" s="1197"/>
    </row>
    <row r="41" spans="2:7">
      <c r="B41" s="1197" t="s">
        <v>1202</v>
      </c>
      <c r="C41" s="1197"/>
      <c r="D41" s="1197"/>
      <c r="E41" s="1197"/>
      <c r="F41" s="1197"/>
      <c r="G41" s="1197"/>
    </row>
  </sheetData>
  <mergeCells count="12">
    <mergeCell ref="A3:M3"/>
    <mergeCell ref="A4:M4"/>
    <mergeCell ref="A5:M5"/>
    <mergeCell ref="A6:M6"/>
    <mergeCell ref="B41:G41"/>
    <mergeCell ref="B33:G33"/>
    <mergeCell ref="B34:G34"/>
    <mergeCell ref="B35:G35"/>
    <mergeCell ref="B37:G37"/>
    <mergeCell ref="B38:G38"/>
    <mergeCell ref="B40:G40"/>
    <mergeCell ref="E9:G9"/>
  </mergeCells>
  <printOptions horizontalCentered="1"/>
  <pageMargins left="0.7" right="0.7" top="0.75" bottom="0.75" header="0.3" footer="0.3"/>
  <pageSetup fitToHeight="0" orientation="landscape" r:id="rId1"/>
  <headerFooter alignWithMargins="0"/>
  <rowBreaks count="1" manualBreakCount="1">
    <brk id="29" max="12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433D1-B4EC-4EC5-88EE-49D6569B7B3E}">
  <sheetPr>
    <pageSetUpPr fitToPage="1"/>
  </sheetPr>
  <dimension ref="A1:R57"/>
  <sheetViews>
    <sheetView showGridLines="0" zoomScaleNormal="100" zoomScaleSheetLayoutView="100" workbookViewId="0"/>
  </sheetViews>
  <sheetFormatPr defaultRowHeight="10.199999999999999"/>
  <cols>
    <col min="1" max="1" width="4.33203125" style="516" customWidth="1"/>
    <col min="2" max="2" width="2.88671875" style="516" customWidth="1"/>
    <col min="3" max="3" width="50.109375" style="516" customWidth="1"/>
    <col min="4" max="4" width="2.88671875" style="516" customWidth="1"/>
    <col min="5" max="5" width="9.33203125" style="516" customWidth="1"/>
    <col min="6" max="6" width="2.88671875" style="516" customWidth="1"/>
    <col min="7" max="7" width="7.6640625" style="516" customWidth="1"/>
    <col min="8" max="8" width="2.88671875" style="516" customWidth="1"/>
    <col min="9" max="9" width="7.6640625" style="516" customWidth="1"/>
    <col min="10" max="10" width="2.88671875" style="516" customWidth="1"/>
    <col min="11" max="11" width="9.33203125" style="516" customWidth="1"/>
    <col min="12" max="12" width="2.88671875" style="516" customWidth="1"/>
    <col min="13" max="13" width="7.6640625" style="516" customWidth="1"/>
    <col min="14" max="14" width="2.88671875" style="516" customWidth="1"/>
    <col min="15" max="15" width="7.6640625" style="516" customWidth="1"/>
    <col min="16" max="16" width="2.88671875" style="516" customWidth="1"/>
    <col min="17" max="17" width="4.33203125" style="516" customWidth="1"/>
    <col min="18" max="18" width="2.88671875" style="516" customWidth="1"/>
    <col min="19" max="20" width="6.88671875" style="516" customWidth="1"/>
    <col min="21" max="21" width="7.88671875" style="516" bestFit="1" customWidth="1"/>
    <col min="22" max="23" width="8.6640625" style="516"/>
    <col min="24" max="24" width="9.33203125" style="516" bestFit="1" customWidth="1"/>
    <col min="25" max="256" width="8.6640625" style="516"/>
    <col min="257" max="257" width="4.33203125" style="516" customWidth="1"/>
    <col min="258" max="258" width="2.88671875" style="516" customWidth="1"/>
    <col min="259" max="259" width="40.109375" style="516" customWidth="1"/>
    <col min="260" max="260" width="4.33203125" style="516" customWidth="1"/>
    <col min="261" max="261" width="9.33203125" style="516" customWidth="1"/>
    <col min="262" max="262" width="2.88671875" style="516" customWidth="1"/>
    <col min="263" max="263" width="7.109375" style="516" customWidth="1"/>
    <col min="264" max="264" width="2.88671875" style="516" customWidth="1"/>
    <col min="265" max="266" width="6.44140625" style="516" customWidth="1"/>
    <col min="267" max="267" width="9.33203125" style="516" customWidth="1"/>
    <col min="268" max="268" width="2.88671875" style="516" customWidth="1"/>
    <col min="269" max="269" width="7.109375" style="516" customWidth="1"/>
    <col min="270" max="270" width="2.88671875" style="516" customWidth="1"/>
    <col min="271" max="271" width="6.44140625" style="516" customWidth="1"/>
    <col min="272" max="272" width="2.88671875" style="516" customWidth="1"/>
    <col min="273" max="273" width="4.33203125" style="516" customWidth="1"/>
    <col min="274" max="274" width="2.88671875" style="516" customWidth="1"/>
    <col min="275" max="276" width="6.88671875" style="516" customWidth="1"/>
    <col min="277" max="277" width="7.88671875" style="516" bestFit="1" customWidth="1"/>
    <col min="278" max="279" width="8.6640625" style="516"/>
    <col min="280" max="280" width="9.33203125" style="516" bestFit="1" customWidth="1"/>
    <col min="281" max="512" width="8.6640625" style="516"/>
    <col min="513" max="513" width="4.33203125" style="516" customWidth="1"/>
    <col min="514" max="514" width="2.88671875" style="516" customWidth="1"/>
    <col min="515" max="515" width="40.109375" style="516" customWidth="1"/>
    <col min="516" max="516" width="4.33203125" style="516" customWidth="1"/>
    <col min="517" max="517" width="9.33203125" style="516" customWidth="1"/>
    <col min="518" max="518" width="2.88671875" style="516" customWidth="1"/>
    <col min="519" max="519" width="7.109375" style="516" customWidth="1"/>
    <col min="520" max="520" width="2.88671875" style="516" customWidth="1"/>
    <col min="521" max="522" width="6.44140625" style="516" customWidth="1"/>
    <col min="523" max="523" width="9.33203125" style="516" customWidth="1"/>
    <col min="524" max="524" width="2.88671875" style="516" customWidth="1"/>
    <col min="525" max="525" width="7.109375" style="516" customWidth="1"/>
    <col min="526" max="526" width="2.88671875" style="516" customWidth="1"/>
    <col min="527" max="527" width="6.44140625" style="516" customWidth="1"/>
    <col min="528" max="528" width="2.88671875" style="516" customWidth="1"/>
    <col min="529" max="529" width="4.33203125" style="516" customWidth="1"/>
    <col min="530" max="530" width="2.88671875" style="516" customWidth="1"/>
    <col min="531" max="532" width="6.88671875" style="516" customWidth="1"/>
    <col min="533" max="533" width="7.88671875" style="516" bestFit="1" customWidth="1"/>
    <col min="534" max="535" width="8.6640625" style="516"/>
    <col min="536" max="536" width="9.33203125" style="516" bestFit="1" customWidth="1"/>
    <col min="537" max="768" width="8.6640625" style="516"/>
    <col min="769" max="769" width="4.33203125" style="516" customWidth="1"/>
    <col min="770" max="770" width="2.88671875" style="516" customWidth="1"/>
    <col min="771" max="771" width="40.109375" style="516" customWidth="1"/>
    <col min="772" max="772" width="4.33203125" style="516" customWidth="1"/>
    <col min="773" max="773" width="9.33203125" style="516" customWidth="1"/>
    <col min="774" max="774" width="2.88671875" style="516" customWidth="1"/>
    <col min="775" max="775" width="7.109375" style="516" customWidth="1"/>
    <col min="776" max="776" width="2.88671875" style="516" customWidth="1"/>
    <col min="777" max="778" width="6.44140625" style="516" customWidth="1"/>
    <col min="779" max="779" width="9.33203125" style="516" customWidth="1"/>
    <col min="780" max="780" width="2.88671875" style="516" customWidth="1"/>
    <col min="781" max="781" width="7.109375" style="516" customWidth="1"/>
    <col min="782" max="782" width="2.88671875" style="516" customWidth="1"/>
    <col min="783" max="783" width="6.44140625" style="516" customWidth="1"/>
    <col min="784" max="784" width="2.88671875" style="516" customWidth="1"/>
    <col min="785" max="785" width="4.33203125" style="516" customWidth="1"/>
    <col min="786" max="786" width="2.88671875" style="516" customWidth="1"/>
    <col min="787" max="788" width="6.88671875" style="516" customWidth="1"/>
    <col min="789" max="789" width="7.88671875" style="516" bestFit="1" customWidth="1"/>
    <col min="790" max="791" width="8.6640625" style="516"/>
    <col min="792" max="792" width="9.33203125" style="516" bestFit="1" customWidth="1"/>
    <col min="793" max="1024" width="8.6640625" style="516"/>
    <col min="1025" max="1025" width="4.33203125" style="516" customWidth="1"/>
    <col min="1026" max="1026" width="2.88671875" style="516" customWidth="1"/>
    <col min="1027" max="1027" width="40.109375" style="516" customWidth="1"/>
    <col min="1028" max="1028" width="4.33203125" style="516" customWidth="1"/>
    <col min="1029" max="1029" width="9.33203125" style="516" customWidth="1"/>
    <col min="1030" max="1030" width="2.88671875" style="516" customWidth="1"/>
    <col min="1031" max="1031" width="7.109375" style="516" customWidth="1"/>
    <col min="1032" max="1032" width="2.88671875" style="516" customWidth="1"/>
    <col min="1033" max="1034" width="6.44140625" style="516" customWidth="1"/>
    <col min="1035" max="1035" width="9.33203125" style="516" customWidth="1"/>
    <col min="1036" max="1036" width="2.88671875" style="516" customWidth="1"/>
    <col min="1037" max="1037" width="7.109375" style="516" customWidth="1"/>
    <col min="1038" max="1038" width="2.88671875" style="516" customWidth="1"/>
    <col min="1039" max="1039" width="6.44140625" style="516" customWidth="1"/>
    <col min="1040" max="1040" width="2.88671875" style="516" customWidth="1"/>
    <col min="1041" max="1041" width="4.33203125" style="516" customWidth="1"/>
    <col min="1042" max="1042" width="2.88671875" style="516" customWidth="1"/>
    <col min="1043" max="1044" width="6.88671875" style="516" customWidth="1"/>
    <col min="1045" max="1045" width="7.88671875" style="516" bestFit="1" customWidth="1"/>
    <col min="1046" max="1047" width="8.6640625" style="516"/>
    <col min="1048" max="1048" width="9.33203125" style="516" bestFit="1" customWidth="1"/>
    <col min="1049" max="1280" width="8.6640625" style="516"/>
    <col min="1281" max="1281" width="4.33203125" style="516" customWidth="1"/>
    <col min="1282" max="1282" width="2.88671875" style="516" customWidth="1"/>
    <col min="1283" max="1283" width="40.109375" style="516" customWidth="1"/>
    <col min="1284" max="1284" width="4.33203125" style="516" customWidth="1"/>
    <col min="1285" max="1285" width="9.33203125" style="516" customWidth="1"/>
    <col min="1286" max="1286" width="2.88671875" style="516" customWidth="1"/>
    <col min="1287" max="1287" width="7.109375" style="516" customWidth="1"/>
    <col min="1288" max="1288" width="2.88671875" style="516" customWidth="1"/>
    <col min="1289" max="1290" width="6.44140625" style="516" customWidth="1"/>
    <col min="1291" max="1291" width="9.33203125" style="516" customWidth="1"/>
    <col min="1292" max="1292" width="2.88671875" style="516" customWidth="1"/>
    <col min="1293" max="1293" width="7.109375" style="516" customWidth="1"/>
    <col min="1294" max="1294" width="2.88671875" style="516" customWidth="1"/>
    <col min="1295" max="1295" width="6.44140625" style="516" customWidth="1"/>
    <col min="1296" max="1296" width="2.88671875" style="516" customWidth="1"/>
    <col min="1297" max="1297" width="4.33203125" style="516" customWidth="1"/>
    <col min="1298" max="1298" width="2.88671875" style="516" customWidth="1"/>
    <col min="1299" max="1300" width="6.88671875" style="516" customWidth="1"/>
    <col min="1301" max="1301" width="7.88671875" style="516" bestFit="1" customWidth="1"/>
    <col min="1302" max="1303" width="8.6640625" style="516"/>
    <col min="1304" max="1304" width="9.33203125" style="516" bestFit="1" customWidth="1"/>
    <col min="1305" max="1536" width="8.6640625" style="516"/>
    <col min="1537" max="1537" width="4.33203125" style="516" customWidth="1"/>
    <col min="1538" max="1538" width="2.88671875" style="516" customWidth="1"/>
    <col min="1539" max="1539" width="40.109375" style="516" customWidth="1"/>
    <col min="1540" max="1540" width="4.33203125" style="516" customWidth="1"/>
    <col min="1541" max="1541" width="9.33203125" style="516" customWidth="1"/>
    <col min="1542" max="1542" width="2.88671875" style="516" customWidth="1"/>
    <col min="1543" max="1543" width="7.109375" style="516" customWidth="1"/>
    <col min="1544" max="1544" width="2.88671875" style="516" customWidth="1"/>
    <col min="1545" max="1546" width="6.44140625" style="516" customWidth="1"/>
    <col min="1547" max="1547" width="9.33203125" style="516" customWidth="1"/>
    <col min="1548" max="1548" width="2.88671875" style="516" customWidth="1"/>
    <col min="1549" max="1549" width="7.109375" style="516" customWidth="1"/>
    <col min="1550" max="1550" width="2.88671875" style="516" customWidth="1"/>
    <col min="1551" max="1551" width="6.44140625" style="516" customWidth="1"/>
    <col min="1552" max="1552" width="2.88671875" style="516" customWidth="1"/>
    <col min="1553" max="1553" width="4.33203125" style="516" customWidth="1"/>
    <col min="1554" max="1554" width="2.88671875" style="516" customWidth="1"/>
    <col min="1555" max="1556" width="6.88671875" style="516" customWidth="1"/>
    <col min="1557" max="1557" width="7.88671875" style="516" bestFit="1" customWidth="1"/>
    <col min="1558" max="1559" width="8.6640625" style="516"/>
    <col min="1560" max="1560" width="9.33203125" style="516" bestFit="1" customWidth="1"/>
    <col min="1561" max="1792" width="8.6640625" style="516"/>
    <col min="1793" max="1793" width="4.33203125" style="516" customWidth="1"/>
    <col min="1794" max="1794" width="2.88671875" style="516" customWidth="1"/>
    <col min="1795" max="1795" width="40.109375" style="516" customWidth="1"/>
    <col min="1796" max="1796" width="4.33203125" style="516" customWidth="1"/>
    <col min="1797" max="1797" width="9.33203125" style="516" customWidth="1"/>
    <col min="1798" max="1798" width="2.88671875" style="516" customWidth="1"/>
    <col min="1799" max="1799" width="7.109375" style="516" customWidth="1"/>
    <col min="1800" max="1800" width="2.88671875" style="516" customWidth="1"/>
    <col min="1801" max="1802" width="6.44140625" style="516" customWidth="1"/>
    <col min="1803" max="1803" width="9.33203125" style="516" customWidth="1"/>
    <col min="1804" max="1804" width="2.88671875" style="516" customWidth="1"/>
    <col min="1805" max="1805" width="7.109375" style="516" customWidth="1"/>
    <col min="1806" max="1806" width="2.88671875" style="516" customWidth="1"/>
    <col min="1807" max="1807" width="6.44140625" style="516" customWidth="1"/>
    <col min="1808" max="1808" width="2.88671875" style="516" customWidth="1"/>
    <col min="1809" max="1809" width="4.33203125" style="516" customWidth="1"/>
    <col min="1810" max="1810" width="2.88671875" style="516" customWidth="1"/>
    <col min="1811" max="1812" width="6.88671875" style="516" customWidth="1"/>
    <col min="1813" max="1813" width="7.88671875" style="516" bestFit="1" customWidth="1"/>
    <col min="1814" max="1815" width="8.6640625" style="516"/>
    <col min="1816" max="1816" width="9.33203125" style="516" bestFit="1" customWidth="1"/>
    <col min="1817" max="2048" width="8.6640625" style="516"/>
    <col min="2049" max="2049" width="4.33203125" style="516" customWidth="1"/>
    <col min="2050" max="2050" width="2.88671875" style="516" customWidth="1"/>
    <col min="2051" max="2051" width="40.109375" style="516" customWidth="1"/>
    <col min="2052" max="2052" width="4.33203125" style="516" customWidth="1"/>
    <col min="2053" max="2053" width="9.33203125" style="516" customWidth="1"/>
    <col min="2054" max="2054" width="2.88671875" style="516" customWidth="1"/>
    <col min="2055" max="2055" width="7.109375" style="516" customWidth="1"/>
    <col min="2056" max="2056" width="2.88671875" style="516" customWidth="1"/>
    <col min="2057" max="2058" width="6.44140625" style="516" customWidth="1"/>
    <col min="2059" max="2059" width="9.33203125" style="516" customWidth="1"/>
    <col min="2060" max="2060" width="2.88671875" style="516" customWidth="1"/>
    <col min="2061" max="2061" width="7.109375" style="516" customWidth="1"/>
    <col min="2062" max="2062" width="2.88671875" style="516" customWidth="1"/>
    <col min="2063" max="2063" width="6.44140625" style="516" customWidth="1"/>
    <col min="2064" max="2064" width="2.88671875" style="516" customWidth="1"/>
    <col min="2065" max="2065" width="4.33203125" style="516" customWidth="1"/>
    <col min="2066" max="2066" width="2.88671875" style="516" customWidth="1"/>
    <col min="2067" max="2068" width="6.88671875" style="516" customWidth="1"/>
    <col min="2069" max="2069" width="7.88671875" style="516" bestFit="1" customWidth="1"/>
    <col min="2070" max="2071" width="8.6640625" style="516"/>
    <col min="2072" max="2072" width="9.33203125" style="516" bestFit="1" customWidth="1"/>
    <col min="2073" max="2304" width="8.6640625" style="516"/>
    <col min="2305" max="2305" width="4.33203125" style="516" customWidth="1"/>
    <col min="2306" max="2306" width="2.88671875" style="516" customWidth="1"/>
    <col min="2307" max="2307" width="40.109375" style="516" customWidth="1"/>
    <col min="2308" max="2308" width="4.33203125" style="516" customWidth="1"/>
    <col min="2309" max="2309" width="9.33203125" style="516" customWidth="1"/>
    <col min="2310" max="2310" width="2.88671875" style="516" customWidth="1"/>
    <col min="2311" max="2311" width="7.109375" style="516" customWidth="1"/>
    <col min="2312" max="2312" width="2.88671875" style="516" customWidth="1"/>
    <col min="2313" max="2314" width="6.44140625" style="516" customWidth="1"/>
    <col min="2315" max="2315" width="9.33203125" style="516" customWidth="1"/>
    <col min="2316" max="2316" width="2.88671875" style="516" customWidth="1"/>
    <col min="2317" max="2317" width="7.109375" style="516" customWidth="1"/>
    <col min="2318" max="2318" width="2.88671875" style="516" customWidth="1"/>
    <col min="2319" max="2319" width="6.44140625" style="516" customWidth="1"/>
    <col min="2320" max="2320" width="2.88671875" style="516" customWidth="1"/>
    <col min="2321" max="2321" width="4.33203125" style="516" customWidth="1"/>
    <col min="2322" max="2322" width="2.88671875" style="516" customWidth="1"/>
    <col min="2323" max="2324" width="6.88671875" style="516" customWidth="1"/>
    <col min="2325" max="2325" width="7.88671875" style="516" bestFit="1" customWidth="1"/>
    <col min="2326" max="2327" width="8.6640625" style="516"/>
    <col min="2328" max="2328" width="9.33203125" style="516" bestFit="1" customWidth="1"/>
    <col min="2329" max="2560" width="8.6640625" style="516"/>
    <col min="2561" max="2561" width="4.33203125" style="516" customWidth="1"/>
    <col min="2562" max="2562" width="2.88671875" style="516" customWidth="1"/>
    <col min="2563" max="2563" width="40.109375" style="516" customWidth="1"/>
    <col min="2564" max="2564" width="4.33203125" style="516" customWidth="1"/>
    <col min="2565" max="2565" width="9.33203125" style="516" customWidth="1"/>
    <col min="2566" max="2566" width="2.88671875" style="516" customWidth="1"/>
    <col min="2567" max="2567" width="7.109375" style="516" customWidth="1"/>
    <col min="2568" max="2568" width="2.88671875" style="516" customWidth="1"/>
    <col min="2569" max="2570" width="6.44140625" style="516" customWidth="1"/>
    <col min="2571" max="2571" width="9.33203125" style="516" customWidth="1"/>
    <col min="2572" max="2572" width="2.88671875" style="516" customWidth="1"/>
    <col min="2573" max="2573" width="7.109375" style="516" customWidth="1"/>
    <col min="2574" max="2574" width="2.88671875" style="516" customWidth="1"/>
    <col min="2575" max="2575" width="6.44140625" style="516" customWidth="1"/>
    <col min="2576" max="2576" width="2.88671875" style="516" customWidth="1"/>
    <col min="2577" max="2577" width="4.33203125" style="516" customWidth="1"/>
    <col min="2578" max="2578" width="2.88671875" style="516" customWidth="1"/>
    <col min="2579" max="2580" width="6.88671875" style="516" customWidth="1"/>
    <col min="2581" max="2581" width="7.88671875" style="516" bestFit="1" customWidth="1"/>
    <col min="2582" max="2583" width="8.6640625" style="516"/>
    <col min="2584" max="2584" width="9.33203125" style="516" bestFit="1" customWidth="1"/>
    <col min="2585" max="2816" width="8.6640625" style="516"/>
    <col min="2817" max="2817" width="4.33203125" style="516" customWidth="1"/>
    <col min="2818" max="2818" width="2.88671875" style="516" customWidth="1"/>
    <col min="2819" max="2819" width="40.109375" style="516" customWidth="1"/>
    <col min="2820" max="2820" width="4.33203125" style="516" customWidth="1"/>
    <col min="2821" max="2821" width="9.33203125" style="516" customWidth="1"/>
    <col min="2822" max="2822" width="2.88671875" style="516" customWidth="1"/>
    <col min="2823" max="2823" width="7.109375" style="516" customWidth="1"/>
    <col min="2824" max="2824" width="2.88671875" style="516" customWidth="1"/>
    <col min="2825" max="2826" width="6.44140625" style="516" customWidth="1"/>
    <col min="2827" max="2827" width="9.33203125" style="516" customWidth="1"/>
    <col min="2828" max="2828" width="2.88671875" style="516" customWidth="1"/>
    <col min="2829" max="2829" width="7.109375" style="516" customWidth="1"/>
    <col min="2830" max="2830" width="2.88671875" style="516" customWidth="1"/>
    <col min="2831" max="2831" width="6.44140625" style="516" customWidth="1"/>
    <col min="2832" max="2832" width="2.88671875" style="516" customWidth="1"/>
    <col min="2833" max="2833" width="4.33203125" style="516" customWidth="1"/>
    <col min="2834" max="2834" width="2.88671875" style="516" customWidth="1"/>
    <col min="2835" max="2836" width="6.88671875" style="516" customWidth="1"/>
    <col min="2837" max="2837" width="7.88671875" style="516" bestFit="1" customWidth="1"/>
    <col min="2838" max="2839" width="8.6640625" style="516"/>
    <col min="2840" max="2840" width="9.33203125" style="516" bestFit="1" customWidth="1"/>
    <col min="2841" max="3072" width="8.6640625" style="516"/>
    <col min="3073" max="3073" width="4.33203125" style="516" customWidth="1"/>
    <col min="3074" max="3074" width="2.88671875" style="516" customWidth="1"/>
    <col min="3075" max="3075" width="40.109375" style="516" customWidth="1"/>
    <col min="3076" max="3076" width="4.33203125" style="516" customWidth="1"/>
    <col min="3077" max="3077" width="9.33203125" style="516" customWidth="1"/>
    <col min="3078" max="3078" width="2.88671875" style="516" customWidth="1"/>
    <col min="3079" max="3079" width="7.109375" style="516" customWidth="1"/>
    <col min="3080" max="3080" width="2.88671875" style="516" customWidth="1"/>
    <col min="3081" max="3082" width="6.44140625" style="516" customWidth="1"/>
    <col min="3083" max="3083" width="9.33203125" style="516" customWidth="1"/>
    <col min="3084" max="3084" width="2.88671875" style="516" customWidth="1"/>
    <col min="3085" max="3085" width="7.109375" style="516" customWidth="1"/>
    <col min="3086" max="3086" width="2.88671875" style="516" customWidth="1"/>
    <col min="3087" max="3087" width="6.44140625" style="516" customWidth="1"/>
    <col min="3088" max="3088" width="2.88671875" style="516" customWidth="1"/>
    <col min="3089" max="3089" width="4.33203125" style="516" customWidth="1"/>
    <col min="3090" max="3090" width="2.88671875" style="516" customWidth="1"/>
    <col min="3091" max="3092" width="6.88671875" style="516" customWidth="1"/>
    <col min="3093" max="3093" width="7.88671875" style="516" bestFit="1" customWidth="1"/>
    <col min="3094" max="3095" width="8.6640625" style="516"/>
    <col min="3096" max="3096" width="9.33203125" style="516" bestFit="1" customWidth="1"/>
    <col min="3097" max="3328" width="8.6640625" style="516"/>
    <col min="3329" max="3329" width="4.33203125" style="516" customWidth="1"/>
    <col min="3330" max="3330" width="2.88671875" style="516" customWidth="1"/>
    <col min="3331" max="3331" width="40.109375" style="516" customWidth="1"/>
    <col min="3332" max="3332" width="4.33203125" style="516" customWidth="1"/>
    <col min="3333" max="3333" width="9.33203125" style="516" customWidth="1"/>
    <col min="3334" max="3334" width="2.88671875" style="516" customWidth="1"/>
    <col min="3335" max="3335" width="7.109375" style="516" customWidth="1"/>
    <col min="3336" max="3336" width="2.88671875" style="516" customWidth="1"/>
    <col min="3337" max="3338" width="6.44140625" style="516" customWidth="1"/>
    <col min="3339" max="3339" width="9.33203125" style="516" customWidth="1"/>
    <col min="3340" max="3340" width="2.88671875" style="516" customWidth="1"/>
    <col min="3341" max="3341" width="7.109375" style="516" customWidth="1"/>
    <col min="3342" max="3342" width="2.88671875" style="516" customWidth="1"/>
    <col min="3343" max="3343" width="6.44140625" style="516" customWidth="1"/>
    <col min="3344" max="3344" width="2.88671875" style="516" customWidth="1"/>
    <col min="3345" max="3345" width="4.33203125" style="516" customWidth="1"/>
    <col min="3346" max="3346" width="2.88671875" style="516" customWidth="1"/>
    <col min="3347" max="3348" width="6.88671875" style="516" customWidth="1"/>
    <col min="3349" max="3349" width="7.88671875" style="516" bestFit="1" customWidth="1"/>
    <col min="3350" max="3351" width="8.6640625" style="516"/>
    <col min="3352" max="3352" width="9.33203125" style="516" bestFit="1" customWidth="1"/>
    <col min="3353" max="3584" width="8.6640625" style="516"/>
    <col min="3585" max="3585" width="4.33203125" style="516" customWidth="1"/>
    <col min="3586" max="3586" width="2.88671875" style="516" customWidth="1"/>
    <col min="3587" max="3587" width="40.109375" style="516" customWidth="1"/>
    <col min="3588" max="3588" width="4.33203125" style="516" customWidth="1"/>
    <col min="3589" max="3589" width="9.33203125" style="516" customWidth="1"/>
    <col min="3590" max="3590" width="2.88671875" style="516" customWidth="1"/>
    <col min="3591" max="3591" width="7.109375" style="516" customWidth="1"/>
    <col min="3592" max="3592" width="2.88671875" style="516" customWidth="1"/>
    <col min="3593" max="3594" width="6.44140625" style="516" customWidth="1"/>
    <col min="3595" max="3595" width="9.33203125" style="516" customWidth="1"/>
    <col min="3596" max="3596" width="2.88671875" style="516" customWidth="1"/>
    <col min="3597" max="3597" width="7.109375" style="516" customWidth="1"/>
    <col min="3598" max="3598" width="2.88671875" style="516" customWidth="1"/>
    <col min="3599" max="3599" width="6.44140625" style="516" customWidth="1"/>
    <col min="3600" max="3600" width="2.88671875" style="516" customWidth="1"/>
    <col min="3601" max="3601" width="4.33203125" style="516" customWidth="1"/>
    <col min="3602" max="3602" width="2.88671875" style="516" customWidth="1"/>
    <col min="3603" max="3604" width="6.88671875" style="516" customWidth="1"/>
    <col min="3605" max="3605" width="7.88671875" style="516" bestFit="1" customWidth="1"/>
    <col min="3606" max="3607" width="8.6640625" style="516"/>
    <col min="3608" max="3608" width="9.33203125" style="516" bestFit="1" customWidth="1"/>
    <col min="3609" max="3840" width="8.6640625" style="516"/>
    <col min="3841" max="3841" width="4.33203125" style="516" customWidth="1"/>
    <col min="3842" max="3842" width="2.88671875" style="516" customWidth="1"/>
    <col min="3843" max="3843" width="40.109375" style="516" customWidth="1"/>
    <col min="3844" max="3844" width="4.33203125" style="516" customWidth="1"/>
    <col min="3845" max="3845" width="9.33203125" style="516" customWidth="1"/>
    <col min="3846" max="3846" width="2.88671875" style="516" customWidth="1"/>
    <col min="3847" max="3847" width="7.109375" style="516" customWidth="1"/>
    <col min="3848" max="3848" width="2.88671875" style="516" customWidth="1"/>
    <col min="3849" max="3850" width="6.44140625" style="516" customWidth="1"/>
    <col min="3851" max="3851" width="9.33203125" style="516" customWidth="1"/>
    <col min="3852" max="3852" width="2.88671875" style="516" customWidth="1"/>
    <col min="3853" max="3853" width="7.109375" style="516" customWidth="1"/>
    <col min="3854" max="3854" width="2.88671875" style="516" customWidth="1"/>
    <col min="3855" max="3855" width="6.44140625" style="516" customWidth="1"/>
    <col min="3856" max="3856" width="2.88671875" style="516" customWidth="1"/>
    <col min="3857" max="3857" width="4.33203125" style="516" customWidth="1"/>
    <col min="3858" max="3858" width="2.88671875" style="516" customWidth="1"/>
    <col min="3859" max="3860" width="6.88671875" style="516" customWidth="1"/>
    <col min="3861" max="3861" width="7.88671875" style="516" bestFit="1" customWidth="1"/>
    <col min="3862" max="3863" width="8.6640625" style="516"/>
    <col min="3864" max="3864" width="9.33203125" style="516" bestFit="1" customWidth="1"/>
    <col min="3865" max="4096" width="8.6640625" style="516"/>
    <col min="4097" max="4097" width="4.33203125" style="516" customWidth="1"/>
    <col min="4098" max="4098" width="2.88671875" style="516" customWidth="1"/>
    <col min="4099" max="4099" width="40.109375" style="516" customWidth="1"/>
    <col min="4100" max="4100" width="4.33203125" style="516" customWidth="1"/>
    <col min="4101" max="4101" width="9.33203125" style="516" customWidth="1"/>
    <col min="4102" max="4102" width="2.88671875" style="516" customWidth="1"/>
    <col min="4103" max="4103" width="7.109375" style="516" customWidth="1"/>
    <col min="4104" max="4104" width="2.88671875" style="516" customWidth="1"/>
    <col min="4105" max="4106" width="6.44140625" style="516" customWidth="1"/>
    <col min="4107" max="4107" width="9.33203125" style="516" customWidth="1"/>
    <col min="4108" max="4108" width="2.88671875" style="516" customWidth="1"/>
    <col min="4109" max="4109" width="7.109375" style="516" customWidth="1"/>
    <col min="4110" max="4110" width="2.88671875" style="516" customWidth="1"/>
    <col min="4111" max="4111" width="6.44140625" style="516" customWidth="1"/>
    <col min="4112" max="4112" width="2.88671875" style="516" customWidth="1"/>
    <col min="4113" max="4113" width="4.33203125" style="516" customWidth="1"/>
    <col min="4114" max="4114" width="2.88671875" style="516" customWidth="1"/>
    <col min="4115" max="4116" width="6.88671875" style="516" customWidth="1"/>
    <col min="4117" max="4117" width="7.88671875" style="516" bestFit="1" customWidth="1"/>
    <col min="4118" max="4119" width="8.6640625" style="516"/>
    <col min="4120" max="4120" width="9.33203125" style="516" bestFit="1" customWidth="1"/>
    <col min="4121" max="4352" width="8.6640625" style="516"/>
    <col min="4353" max="4353" width="4.33203125" style="516" customWidth="1"/>
    <col min="4354" max="4354" width="2.88671875" style="516" customWidth="1"/>
    <col min="4355" max="4355" width="40.109375" style="516" customWidth="1"/>
    <col min="4356" max="4356" width="4.33203125" style="516" customWidth="1"/>
    <col min="4357" max="4357" width="9.33203125" style="516" customWidth="1"/>
    <col min="4358" max="4358" width="2.88671875" style="516" customWidth="1"/>
    <col min="4359" max="4359" width="7.109375" style="516" customWidth="1"/>
    <col min="4360" max="4360" width="2.88671875" style="516" customWidth="1"/>
    <col min="4361" max="4362" width="6.44140625" style="516" customWidth="1"/>
    <col min="4363" max="4363" width="9.33203125" style="516" customWidth="1"/>
    <col min="4364" max="4364" width="2.88671875" style="516" customWidth="1"/>
    <col min="4365" max="4365" width="7.109375" style="516" customWidth="1"/>
    <col min="4366" max="4366" width="2.88671875" style="516" customWidth="1"/>
    <col min="4367" max="4367" width="6.44140625" style="516" customWidth="1"/>
    <col min="4368" max="4368" width="2.88671875" style="516" customWidth="1"/>
    <col min="4369" max="4369" width="4.33203125" style="516" customWidth="1"/>
    <col min="4370" max="4370" width="2.88671875" style="516" customWidth="1"/>
    <col min="4371" max="4372" width="6.88671875" style="516" customWidth="1"/>
    <col min="4373" max="4373" width="7.88671875" style="516" bestFit="1" customWidth="1"/>
    <col min="4374" max="4375" width="8.6640625" style="516"/>
    <col min="4376" max="4376" width="9.33203125" style="516" bestFit="1" customWidth="1"/>
    <col min="4377" max="4608" width="8.6640625" style="516"/>
    <col min="4609" max="4609" width="4.33203125" style="516" customWidth="1"/>
    <col min="4610" max="4610" width="2.88671875" style="516" customWidth="1"/>
    <col min="4611" max="4611" width="40.109375" style="516" customWidth="1"/>
    <col min="4612" max="4612" width="4.33203125" style="516" customWidth="1"/>
    <col min="4613" max="4613" width="9.33203125" style="516" customWidth="1"/>
    <col min="4614" max="4614" width="2.88671875" style="516" customWidth="1"/>
    <col min="4615" max="4615" width="7.109375" style="516" customWidth="1"/>
    <col min="4616" max="4616" width="2.88671875" style="516" customWidth="1"/>
    <col min="4617" max="4618" width="6.44140625" style="516" customWidth="1"/>
    <col min="4619" max="4619" width="9.33203125" style="516" customWidth="1"/>
    <col min="4620" max="4620" width="2.88671875" style="516" customWidth="1"/>
    <col min="4621" max="4621" width="7.109375" style="516" customWidth="1"/>
    <col min="4622" max="4622" width="2.88671875" style="516" customWidth="1"/>
    <col min="4623" max="4623" width="6.44140625" style="516" customWidth="1"/>
    <col min="4624" max="4624" width="2.88671875" style="516" customWidth="1"/>
    <col min="4625" max="4625" width="4.33203125" style="516" customWidth="1"/>
    <col min="4626" max="4626" width="2.88671875" style="516" customWidth="1"/>
    <col min="4627" max="4628" width="6.88671875" style="516" customWidth="1"/>
    <col min="4629" max="4629" width="7.88671875" style="516" bestFit="1" customWidth="1"/>
    <col min="4630" max="4631" width="8.6640625" style="516"/>
    <col min="4632" max="4632" width="9.33203125" style="516" bestFit="1" customWidth="1"/>
    <col min="4633" max="4864" width="8.6640625" style="516"/>
    <col min="4865" max="4865" width="4.33203125" style="516" customWidth="1"/>
    <col min="4866" max="4866" width="2.88671875" style="516" customWidth="1"/>
    <col min="4867" max="4867" width="40.109375" style="516" customWidth="1"/>
    <col min="4868" max="4868" width="4.33203125" style="516" customWidth="1"/>
    <col min="4869" max="4869" width="9.33203125" style="516" customWidth="1"/>
    <col min="4870" max="4870" width="2.88671875" style="516" customWidth="1"/>
    <col min="4871" max="4871" width="7.109375" style="516" customWidth="1"/>
    <col min="4872" max="4872" width="2.88671875" style="516" customWidth="1"/>
    <col min="4873" max="4874" width="6.44140625" style="516" customWidth="1"/>
    <col min="4875" max="4875" width="9.33203125" style="516" customWidth="1"/>
    <col min="4876" max="4876" width="2.88671875" style="516" customWidth="1"/>
    <col min="4877" max="4877" width="7.109375" style="516" customWidth="1"/>
    <col min="4878" max="4878" width="2.88671875" style="516" customWidth="1"/>
    <col min="4879" max="4879" width="6.44140625" style="516" customWidth="1"/>
    <col min="4880" max="4880" width="2.88671875" style="516" customWidth="1"/>
    <col min="4881" max="4881" width="4.33203125" style="516" customWidth="1"/>
    <col min="4882" max="4882" width="2.88671875" style="516" customWidth="1"/>
    <col min="4883" max="4884" width="6.88671875" style="516" customWidth="1"/>
    <col min="4885" max="4885" width="7.88671875" style="516" bestFit="1" customWidth="1"/>
    <col min="4886" max="4887" width="8.6640625" style="516"/>
    <col min="4888" max="4888" width="9.33203125" style="516" bestFit="1" customWidth="1"/>
    <col min="4889" max="5120" width="8.6640625" style="516"/>
    <col min="5121" max="5121" width="4.33203125" style="516" customWidth="1"/>
    <col min="5122" max="5122" width="2.88671875" style="516" customWidth="1"/>
    <col min="5123" max="5123" width="40.109375" style="516" customWidth="1"/>
    <col min="5124" max="5124" width="4.33203125" style="516" customWidth="1"/>
    <col min="5125" max="5125" width="9.33203125" style="516" customWidth="1"/>
    <col min="5126" max="5126" width="2.88671875" style="516" customWidth="1"/>
    <col min="5127" max="5127" width="7.109375" style="516" customWidth="1"/>
    <col min="5128" max="5128" width="2.88671875" style="516" customWidth="1"/>
    <col min="5129" max="5130" width="6.44140625" style="516" customWidth="1"/>
    <col min="5131" max="5131" width="9.33203125" style="516" customWidth="1"/>
    <col min="5132" max="5132" width="2.88671875" style="516" customWidth="1"/>
    <col min="5133" max="5133" width="7.109375" style="516" customWidth="1"/>
    <col min="5134" max="5134" width="2.88671875" style="516" customWidth="1"/>
    <col min="5135" max="5135" width="6.44140625" style="516" customWidth="1"/>
    <col min="5136" max="5136" width="2.88671875" style="516" customWidth="1"/>
    <col min="5137" max="5137" width="4.33203125" style="516" customWidth="1"/>
    <col min="5138" max="5138" width="2.88671875" style="516" customWidth="1"/>
    <col min="5139" max="5140" width="6.88671875" style="516" customWidth="1"/>
    <col min="5141" max="5141" width="7.88671875" style="516" bestFit="1" customWidth="1"/>
    <col min="5142" max="5143" width="8.6640625" style="516"/>
    <col min="5144" max="5144" width="9.33203125" style="516" bestFit="1" customWidth="1"/>
    <col min="5145" max="5376" width="8.6640625" style="516"/>
    <col min="5377" max="5377" width="4.33203125" style="516" customWidth="1"/>
    <col min="5378" max="5378" width="2.88671875" style="516" customWidth="1"/>
    <col min="5379" max="5379" width="40.109375" style="516" customWidth="1"/>
    <col min="5380" max="5380" width="4.33203125" style="516" customWidth="1"/>
    <col min="5381" max="5381" width="9.33203125" style="516" customWidth="1"/>
    <col min="5382" max="5382" width="2.88671875" style="516" customWidth="1"/>
    <col min="5383" max="5383" width="7.109375" style="516" customWidth="1"/>
    <col min="5384" max="5384" width="2.88671875" style="516" customWidth="1"/>
    <col min="5385" max="5386" width="6.44140625" style="516" customWidth="1"/>
    <col min="5387" max="5387" width="9.33203125" style="516" customWidth="1"/>
    <col min="5388" max="5388" width="2.88671875" style="516" customWidth="1"/>
    <col min="5389" max="5389" width="7.109375" style="516" customWidth="1"/>
    <col min="5390" max="5390" width="2.88671875" style="516" customWidth="1"/>
    <col min="5391" max="5391" width="6.44140625" style="516" customWidth="1"/>
    <col min="5392" max="5392" width="2.88671875" style="516" customWidth="1"/>
    <col min="5393" max="5393" width="4.33203125" style="516" customWidth="1"/>
    <col min="5394" max="5394" width="2.88671875" style="516" customWidth="1"/>
    <col min="5395" max="5396" width="6.88671875" style="516" customWidth="1"/>
    <col min="5397" max="5397" width="7.88671875" style="516" bestFit="1" customWidth="1"/>
    <col min="5398" max="5399" width="8.6640625" style="516"/>
    <col min="5400" max="5400" width="9.33203125" style="516" bestFit="1" customWidth="1"/>
    <col min="5401" max="5632" width="8.6640625" style="516"/>
    <col min="5633" max="5633" width="4.33203125" style="516" customWidth="1"/>
    <col min="5634" max="5634" width="2.88671875" style="516" customWidth="1"/>
    <col min="5635" max="5635" width="40.109375" style="516" customWidth="1"/>
    <col min="5636" max="5636" width="4.33203125" style="516" customWidth="1"/>
    <col min="5637" max="5637" width="9.33203125" style="516" customWidth="1"/>
    <col min="5638" max="5638" width="2.88671875" style="516" customWidth="1"/>
    <col min="5639" max="5639" width="7.109375" style="516" customWidth="1"/>
    <col min="5640" max="5640" width="2.88671875" style="516" customWidth="1"/>
    <col min="5641" max="5642" width="6.44140625" style="516" customWidth="1"/>
    <col min="5643" max="5643" width="9.33203125" style="516" customWidth="1"/>
    <col min="5644" max="5644" width="2.88671875" style="516" customWidth="1"/>
    <col min="5645" max="5645" width="7.109375" style="516" customWidth="1"/>
    <col min="5646" max="5646" width="2.88671875" style="516" customWidth="1"/>
    <col min="5647" max="5647" width="6.44140625" style="516" customWidth="1"/>
    <col min="5648" max="5648" width="2.88671875" style="516" customWidth="1"/>
    <col min="5649" max="5649" width="4.33203125" style="516" customWidth="1"/>
    <col min="5650" max="5650" width="2.88671875" style="516" customWidth="1"/>
    <col min="5651" max="5652" width="6.88671875" style="516" customWidth="1"/>
    <col min="5653" max="5653" width="7.88671875" style="516" bestFit="1" customWidth="1"/>
    <col min="5654" max="5655" width="8.6640625" style="516"/>
    <col min="5656" max="5656" width="9.33203125" style="516" bestFit="1" customWidth="1"/>
    <col min="5657" max="5888" width="8.6640625" style="516"/>
    <col min="5889" max="5889" width="4.33203125" style="516" customWidth="1"/>
    <col min="5890" max="5890" width="2.88671875" style="516" customWidth="1"/>
    <col min="5891" max="5891" width="40.109375" style="516" customWidth="1"/>
    <col min="5892" max="5892" width="4.33203125" style="516" customWidth="1"/>
    <col min="5893" max="5893" width="9.33203125" style="516" customWidth="1"/>
    <col min="5894" max="5894" width="2.88671875" style="516" customWidth="1"/>
    <col min="5895" max="5895" width="7.109375" style="516" customWidth="1"/>
    <col min="5896" max="5896" width="2.88671875" style="516" customWidth="1"/>
    <col min="5897" max="5898" width="6.44140625" style="516" customWidth="1"/>
    <col min="5899" max="5899" width="9.33203125" style="516" customWidth="1"/>
    <col min="5900" max="5900" width="2.88671875" style="516" customWidth="1"/>
    <col min="5901" max="5901" width="7.109375" style="516" customWidth="1"/>
    <col min="5902" max="5902" width="2.88671875" style="516" customWidth="1"/>
    <col min="5903" max="5903" width="6.44140625" style="516" customWidth="1"/>
    <col min="5904" max="5904" width="2.88671875" style="516" customWidth="1"/>
    <col min="5905" max="5905" width="4.33203125" style="516" customWidth="1"/>
    <col min="5906" max="5906" width="2.88671875" style="516" customWidth="1"/>
    <col min="5907" max="5908" width="6.88671875" style="516" customWidth="1"/>
    <col min="5909" max="5909" width="7.88671875" style="516" bestFit="1" customWidth="1"/>
    <col min="5910" max="5911" width="8.6640625" style="516"/>
    <col min="5912" max="5912" width="9.33203125" style="516" bestFit="1" customWidth="1"/>
    <col min="5913" max="6144" width="8.6640625" style="516"/>
    <col min="6145" max="6145" width="4.33203125" style="516" customWidth="1"/>
    <col min="6146" max="6146" width="2.88671875" style="516" customWidth="1"/>
    <col min="6147" max="6147" width="40.109375" style="516" customWidth="1"/>
    <col min="6148" max="6148" width="4.33203125" style="516" customWidth="1"/>
    <col min="6149" max="6149" width="9.33203125" style="516" customWidth="1"/>
    <col min="6150" max="6150" width="2.88671875" style="516" customWidth="1"/>
    <col min="6151" max="6151" width="7.109375" style="516" customWidth="1"/>
    <col min="6152" max="6152" width="2.88671875" style="516" customWidth="1"/>
    <col min="6153" max="6154" width="6.44140625" style="516" customWidth="1"/>
    <col min="6155" max="6155" width="9.33203125" style="516" customWidth="1"/>
    <col min="6156" max="6156" width="2.88671875" style="516" customWidth="1"/>
    <col min="6157" max="6157" width="7.109375" style="516" customWidth="1"/>
    <col min="6158" max="6158" width="2.88671875" style="516" customWidth="1"/>
    <col min="6159" max="6159" width="6.44140625" style="516" customWidth="1"/>
    <col min="6160" max="6160" width="2.88671875" style="516" customWidth="1"/>
    <col min="6161" max="6161" width="4.33203125" style="516" customWidth="1"/>
    <col min="6162" max="6162" width="2.88671875" style="516" customWidth="1"/>
    <col min="6163" max="6164" width="6.88671875" style="516" customWidth="1"/>
    <col min="6165" max="6165" width="7.88671875" style="516" bestFit="1" customWidth="1"/>
    <col min="6166" max="6167" width="8.6640625" style="516"/>
    <col min="6168" max="6168" width="9.33203125" style="516" bestFit="1" customWidth="1"/>
    <col min="6169" max="6400" width="8.6640625" style="516"/>
    <col min="6401" max="6401" width="4.33203125" style="516" customWidth="1"/>
    <col min="6402" max="6402" width="2.88671875" style="516" customWidth="1"/>
    <col min="6403" max="6403" width="40.109375" style="516" customWidth="1"/>
    <col min="6404" max="6404" width="4.33203125" style="516" customWidth="1"/>
    <col min="6405" max="6405" width="9.33203125" style="516" customWidth="1"/>
    <col min="6406" max="6406" width="2.88671875" style="516" customWidth="1"/>
    <col min="6407" max="6407" width="7.109375" style="516" customWidth="1"/>
    <col min="6408" max="6408" width="2.88671875" style="516" customWidth="1"/>
    <col min="6409" max="6410" width="6.44140625" style="516" customWidth="1"/>
    <col min="6411" max="6411" width="9.33203125" style="516" customWidth="1"/>
    <col min="6412" max="6412" width="2.88671875" style="516" customWidth="1"/>
    <col min="6413" max="6413" width="7.109375" style="516" customWidth="1"/>
    <col min="6414" max="6414" width="2.88671875" style="516" customWidth="1"/>
    <col min="6415" max="6415" width="6.44140625" style="516" customWidth="1"/>
    <col min="6416" max="6416" width="2.88671875" style="516" customWidth="1"/>
    <col min="6417" max="6417" width="4.33203125" style="516" customWidth="1"/>
    <col min="6418" max="6418" width="2.88671875" style="516" customWidth="1"/>
    <col min="6419" max="6420" width="6.88671875" style="516" customWidth="1"/>
    <col min="6421" max="6421" width="7.88671875" style="516" bestFit="1" customWidth="1"/>
    <col min="6422" max="6423" width="8.6640625" style="516"/>
    <col min="6424" max="6424" width="9.33203125" style="516" bestFit="1" customWidth="1"/>
    <col min="6425" max="6656" width="8.6640625" style="516"/>
    <col min="6657" max="6657" width="4.33203125" style="516" customWidth="1"/>
    <col min="6658" max="6658" width="2.88671875" style="516" customWidth="1"/>
    <col min="6659" max="6659" width="40.109375" style="516" customWidth="1"/>
    <col min="6660" max="6660" width="4.33203125" style="516" customWidth="1"/>
    <col min="6661" max="6661" width="9.33203125" style="516" customWidth="1"/>
    <col min="6662" max="6662" width="2.88671875" style="516" customWidth="1"/>
    <col min="6663" max="6663" width="7.109375" style="516" customWidth="1"/>
    <col min="6664" max="6664" width="2.88671875" style="516" customWidth="1"/>
    <col min="6665" max="6666" width="6.44140625" style="516" customWidth="1"/>
    <col min="6667" max="6667" width="9.33203125" style="516" customWidth="1"/>
    <col min="6668" max="6668" width="2.88671875" style="516" customWidth="1"/>
    <col min="6669" max="6669" width="7.109375" style="516" customWidth="1"/>
    <col min="6670" max="6670" width="2.88671875" style="516" customWidth="1"/>
    <col min="6671" max="6671" width="6.44140625" style="516" customWidth="1"/>
    <col min="6672" max="6672" width="2.88671875" style="516" customWidth="1"/>
    <col min="6673" max="6673" width="4.33203125" style="516" customWidth="1"/>
    <col min="6674" max="6674" width="2.88671875" style="516" customWidth="1"/>
    <col min="6675" max="6676" width="6.88671875" style="516" customWidth="1"/>
    <col min="6677" max="6677" width="7.88671875" style="516" bestFit="1" customWidth="1"/>
    <col min="6678" max="6679" width="8.6640625" style="516"/>
    <col min="6680" max="6680" width="9.33203125" style="516" bestFit="1" customWidth="1"/>
    <col min="6681" max="6912" width="8.6640625" style="516"/>
    <col min="6913" max="6913" width="4.33203125" style="516" customWidth="1"/>
    <col min="6914" max="6914" width="2.88671875" style="516" customWidth="1"/>
    <col min="6915" max="6915" width="40.109375" style="516" customWidth="1"/>
    <col min="6916" max="6916" width="4.33203125" style="516" customWidth="1"/>
    <col min="6917" max="6917" width="9.33203125" style="516" customWidth="1"/>
    <col min="6918" max="6918" width="2.88671875" style="516" customWidth="1"/>
    <col min="6919" max="6919" width="7.109375" style="516" customWidth="1"/>
    <col min="6920" max="6920" width="2.88671875" style="516" customWidth="1"/>
    <col min="6921" max="6922" width="6.44140625" style="516" customWidth="1"/>
    <col min="6923" max="6923" width="9.33203125" style="516" customWidth="1"/>
    <col min="6924" max="6924" width="2.88671875" style="516" customWidth="1"/>
    <col min="6925" max="6925" width="7.109375" style="516" customWidth="1"/>
    <col min="6926" max="6926" width="2.88671875" style="516" customWidth="1"/>
    <col min="6927" max="6927" width="6.44140625" style="516" customWidth="1"/>
    <col min="6928" max="6928" width="2.88671875" style="516" customWidth="1"/>
    <col min="6929" max="6929" width="4.33203125" style="516" customWidth="1"/>
    <col min="6930" max="6930" width="2.88671875" style="516" customWidth="1"/>
    <col min="6931" max="6932" width="6.88671875" style="516" customWidth="1"/>
    <col min="6933" max="6933" width="7.88671875" style="516" bestFit="1" customWidth="1"/>
    <col min="6934" max="6935" width="8.6640625" style="516"/>
    <col min="6936" max="6936" width="9.33203125" style="516" bestFit="1" customWidth="1"/>
    <col min="6937" max="7168" width="8.6640625" style="516"/>
    <col min="7169" max="7169" width="4.33203125" style="516" customWidth="1"/>
    <col min="7170" max="7170" width="2.88671875" style="516" customWidth="1"/>
    <col min="7171" max="7171" width="40.109375" style="516" customWidth="1"/>
    <col min="7172" max="7172" width="4.33203125" style="516" customWidth="1"/>
    <col min="7173" max="7173" width="9.33203125" style="516" customWidth="1"/>
    <col min="7174" max="7174" width="2.88671875" style="516" customWidth="1"/>
    <col min="7175" max="7175" width="7.109375" style="516" customWidth="1"/>
    <col min="7176" max="7176" width="2.88671875" style="516" customWidth="1"/>
    <col min="7177" max="7178" width="6.44140625" style="516" customWidth="1"/>
    <col min="7179" max="7179" width="9.33203125" style="516" customWidth="1"/>
    <col min="7180" max="7180" width="2.88671875" style="516" customWidth="1"/>
    <col min="7181" max="7181" width="7.109375" style="516" customWidth="1"/>
    <col min="7182" max="7182" width="2.88671875" style="516" customWidth="1"/>
    <col min="7183" max="7183" width="6.44140625" style="516" customWidth="1"/>
    <col min="7184" max="7184" width="2.88671875" style="516" customWidth="1"/>
    <col min="7185" max="7185" width="4.33203125" style="516" customWidth="1"/>
    <col min="7186" max="7186" width="2.88671875" style="516" customWidth="1"/>
    <col min="7187" max="7188" width="6.88671875" style="516" customWidth="1"/>
    <col min="7189" max="7189" width="7.88671875" style="516" bestFit="1" customWidth="1"/>
    <col min="7190" max="7191" width="8.6640625" style="516"/>
    <col min="7192" max="7192" width="9.33203125" style="516" bestFit="1" customWidth="1"/>
    <col min="7193" max="7424" width="8.6640625" style="516"/>
    <col min="7425" max="7425" width="4.33203125" style="516" customWidth="1"/>
    <col min="7426" max="7426" width="2.88671875" style="516" customWidth="1"/>
    <col min="7427" max="7427" width="40.109375" style="516" customWidth="1"/>
    <col min="7428" max="7428" width="4.33203125" style="516" customWidth="1"/>
    <col min="7429" max="7429" width="9.33203125" style="516" customWidth="1"/>
    <col min="7430" max="7430" width="2.88671875" style="516" customWidth="1"/>
    <col min="7431" max="7431" width="7.109375" style="516" customWidth="1"/>
    <col min="7432" max="7432" width="2.88671875" style="516" customWidth="1"/>
    <col min="7433" max="7434" width="6.44140625" style="516" customWidth="1"/>
    <col min="7435" max="7435" width="9.33203125" style="516" customWidth="1"/>
    <col min="7436" max="7436" width="2.88671875" style="516" customWidth="1"/>
    <col min="7437" max="7437" width="7.109375" style="516" customWidth="1"/>
    <col min="7438" max="7438" width="2.88671875" style="516" customWidth="1"/>
    <col min="7439" max="7439" width="6.44140625" style="516" customWidth="1"/>
    <col min="7440" max="7440" width="2.88671875" style="516" customWidth="1"/>
    <col min="7441" max="7441" width="4.33203125" style="516" customWidth="1"/>
    <col min="7442" max="7442" width="2.88671875" style="516" customWidth="1"/>
    <col min="7443" max="7444" width="6.88671875" style="516" customWidth="1"/>
    <col min="7445" max="7445" width="7.88671875" style="516" bestFit="1" customWidth="1"/>
    <col min="7446" max="7447" width="8.6640625" style="516"/>
    <col min="7448" max="7448" width="9.33203125" style="516" bestFit="1" customWidth="1"/>
    <col min="7449" max="7680" width="8.6640625" style="516"/>
    <col min="7681" max="7681" width="4.33203125" style="516" customWidth="1"/>
    <col min="7682" max="7682" width="2.88671875" style="516" customWidth="1"/>
    <col min="7683" max="7683" width="40.109375" style="516" customWidth="1"/>
    <col min="7684" max="7684" width="4.33203125" style="516" customWidth="1"/>
    <col min="7685" max="7685" width="9.33203125" style="516" customWidth="1"/>
    <col min="7686" max="7686" width="2.88671875" style="516" customWidth="1"/>
    <col min="7687" max="7687" width="7.109375" style="516" customWidth="1"/>
    <col min="7688" max="7688" width="2.88671875" style="516" customWidth="1"/>
    <col min="7689" max="7690" width="6.44140625" style="516" customWidth="1"/>
    <col min="7691" max="7691" width="9.33203125" style="516" customWidth="1"/>
    <col min="7692" max="7692" width="2.88671875" style="516" customWidth="1"/>
    <col min="7693" max="7693" width="7.109375" style="516" customWidth="1"/>
    <col min="7694" max="7694" width="2.88671875" style="516" customWidth="1"/>
    <col min="7695" max="7695" width="6.44140625" style="516" customWidth="1"/>
    <col min="7696" max="7696" width="2.88671875" style="516" customWidth="1"/>
    <col min="7697" max="7697" width="4.33203125" style="516" customWidth="1"/>
    <col min="7698" max="7698" width="2.88671875" style="516" customWidth="1"/>
    <col min="7699" max="7700" width="6.88671875" style="516" customWidth="1"/>
    <col min="7701" max="7701" width="7.88671875" style="516" bestFit="1" customWidth="1"/>
    <col min="7702" max="7703" width="8.6640625" style="516"/>
    <col min="7704" max="7704" width="9.33203125" style="516" bestFit="1" customWidth="1"/>
    <col min="7705" max="7936" width="8.6640625" style="516"/>
    <col min="7937" max="7937" width="4.33203125" style="516" customWidth="1"/>
    <col min="7938" max="7938" width="2.88671875" style="516" customWidth="1"/>
    <col min="7939" max="7939" width="40.109375" style="516" customWidth="1"/>
    <col min="7940" max="7940" width="4.33203125" style="516" customWidth="1"/>
    <col min="7941" max="7941" width="9.33203125" style="516" customWidth="1"/>
    <col min="7942" max="7942" width="2.88671875" style="516" customWidth="1"/>
    <col min="7943" max="7943" width="7.109375" style="516" customWidth="1"/>
    <col min="7944" max="7944" width="2.88671875" style="516" customWidth="1"/>
    <col min="7945" max="7946" width="6.44140625" style="516" customWidth="1"/>
    <col min="7947" max="7947" width="9.33203125" style="516" customWidth="1"/>
    <col min="7948" max="7948" width="2.88671875" style="516" customWidth="1"/>
    <col min="7949" max="7949" width="7.109375" style="516" customWidth="1"/>
    <col min="7950" max="7950" width="2.88671875" style="516" customWidth="1"/>
    <col min="7951" max="7951" width="6.44140625" style="516" customWidth="1"/>
    <col min="7952" max="7952" width="2.88671875" style="516" customWidth="1"/>
    <col min="7953" max="7953" width="4.33203125" style="516" customWidth="1"/>
    <col min="7954" max="7954" width="2.88671875" style="516" customWidth="1"/>
    <col min="7955" max="7956" width="6.88671875" style="516" customWidth="1"/>
    <col min="7957" max="7957" width="7.88671875" style="516" bestFit="1" customWidth="1"/>
    <col min="7958" max="7959" width="8.6640625" style="516"/>
    <col min="7960" max="7960" width="9.33203125" style="516" bestFit="1" customWidth="1"/>
    <col min="7961" max="8192" width="8.6640625" style="516"/>
    <col min="8193" max="8193" width="4.33203125" style="516" customWidth="1"/>
    <col min="8194" max="8194" width="2.88671875" style="516" customWidth="1"/>
    <col min="8195" max="8195" width="40.109375" style="516" customWidth="1"/>
    <col min="8196" max="8196" width="4.33203125" style="516" customWidth="1"/>
    <col min="8197" max="8197" width="9.33203125" style="516" customWidth="1"/>
    <col min="8198" max="8198" width="2.88671875" style="516" customWidth="1"/>
    <col min="8199" max="8199" width="7.109375" style="516" customWidth="1"/>
    <col min="8200" max="8200" width="2.88671875" style="516" customWidth="1"/>
    <col min="8201" max="8202" width="6.44140625" style="516" customWidth="1"/>
    <col min="8203" max="8203" width="9.33203125" style="516" customWidth="1"/>
    <col min="8204" max="8204" width="2.88671875" style="516" customWidth="1"/>
    <col min="8205" max="8205" width="7.109375" style="516" customWidth="1"/>
    <col min="8206" max="8206" width="2.88671875" style="516" customWidth="1"/>
    <col min="8207" max="8207" width="6.44140625" style="516" customWidth="1"/>
    <col min="8208" max="8208" width="2.88671875" style="516" customWidth="1"/>
    <col min="8209" max="8209" width="4.33203125" style="516" customWidth="1"/>
    <col min="8210" max="8210" width="2.88671875" style="516" customWidth="1"/>
    <col min="8211" max="8212" width="6.88671875" style="516" customWidth="1"/>
    <col min="8213" max="8213" width="7.88671875" style="516" bestFit="1" customWidth="1"/>
    <col min="8214" max="8215" width="8.6640625" style="516"/>
    <col min="8216" max="8216" width="9.33203125" style="516" bestFit="1" customWidth="1"/>
    <col min="8217" max="8448" width="8.6640625" style="516"/>
    <col min="8449" max="8449" width="4.33203125" style="516" customWidth="1"/>
    <col min="8450" max="8450" width="2.88671875" style="516" customWidth="1"/>
    <col min="8451" max="8451" width="40.109375" style="516" customWidth="1"/>
    <col min="8452" max="8452" width="4.33203125" style="516" customWidth="1"/>
    <col min="8453" max="8453" width="9.33203125" style="516" customWidth="1"/>
    <col min="8454" max="8454" width="2.88671875" style="516" customWidth="1"/>
    <col min="8455" max="8455" width="7.109375" style="516" customWidth="1"/>
    <col min="8456" max="8456" width="2.88671875" style="516" customWidth="1"/>
    <col min="8457" max="8458" width="6.44140625" style="516" customWidth="1"/>
    <col min="8459" max="8459" width="9.33203125" style="516" customWidth="1"/>
    <col min="8460" max="8460" width="2.88671875" style="516" customWidth="1"/>
    <col min="8461" max="8461" width="7.109375" style="516" customWidth="1"/>
    <col min="8462" max="8462" width="2.88671875" style="516" customWidth="1"/>
    <col min="8463" max="8463" width="6.44140625" style="516" customWidth="1"/>
    <col min="8464" max="8464" width="2.88671875" style="516" customWidth="1"/>
    <col min="8465" max="8465" width="4.33203125" style="516" customWidth="1"/>
    <col min="8466" max="8466" width="2.88671875" style="516" customWidth="1"/>
    <col min="8467" max="8468" width="6.88671875" style="516" customWidth="1"/>
    <col min="8469" max="8469" width="7.88671875" style="516" bestFit="1" customWidth="1"/>
    <col min="8470" max="8471" width="8.6640625" style="516"/>
    <col min="8472" max="8472" width="9.33203125" style="516" bestFit="1" customWidth="1"/>
    <col min="8473" max="8704" width="8.6640625" style="516"/>
    <col min="8705" max="8705" width="4.33203125" style="516" customWidth="1"/>
    <col min="8706" max="8706" width="2.88671875" style="516" customWidth="1"/>
    <col min="8707" max="8707" width="40.109375" style="516" customWidth="1"/>
    <col min="8708" max="8708" width="4.33203125" style="516" customWidth="1"/>
    <col min="8709" max="8709" width="9.33203125" style="516" customWidth="1"/>
    <col min="8710" max="8710" width="2.88671875" style="516" customWidth="1"/>
    <col min="8711" max="8711" width="7.109375" style="516" customWidth="1"/>
    <col min="8712" max="8712" width="2.88671875" style="516" customWidth="1"/>
    <col min="8713" max="8714" width="6.44140625" style="516" customWidth="1"/>
    <col min="8715" max="8715" width="9.33203125" style="516" customWidth="1"/>
    <col min="8716" max="8716" width="2.88671875" style="516" customWidth="1"/>
    <col min="8717" max="8717" width="7.109375" style="516" customWidth="1"/>
    <col min="8718" max="8718" width="2.88671875" style="516" customWidth="1"/>
    <col min="8719" max="8719" width="6.44140625" style="516" customWidth="1"/>
    <col min="8720" max="8720" width="2.88671875" style="516" customWidth="1"/>
    <col min="8721" max="8721" width="4.33203125" style="516" customWidth="1"/>
    <col min="8722" max="8722" width="2.88671875" style="516" customWidth="1"/>
    <col min="8723" max="8724" width="6.88671875" style="516" customWidth="1"/>
    <col min="8725" max="8725" width="7.88671875" style="516" bestFit="1" customWidth="1"/>
    <col min="8726" max="8727" width="8.6640625" style="516"/>
    <col min="8728" max="8728" width="9.33203125" style="516" bestFit="1" customWidth="1"/>
    <col min="8729" max="8960" width="8.6640625" style="516"/>
    <col min="8961" max="8961" width="4.33203125" style="516" customWidth="1"/>
    <col min="8962" max="8962" width="2.88671875" style="516" customWidth="1"/>
    <col min="8963" max="8963" width="40.109375" style="516" customWidth="1"/>
    <col min="8964" max="8964" width="4.33203125" style="516" customWidth="1"/>
    <col min="8965" max="8965" width="9.33203125" style="516" customWidth="1"/>
    <col min="8966" max="8966" width="2.88671875" style="516" customWidth="1"/>
    <col min="8967" max="8967" width="7.109375" style="516" customWidth="1"/>
    <col min="8968" max="8968" width="2.88671875" style="516" customWidth="1"/>
    <col min="8969" max="8970" width="6.44140625" style="516" customWidth="1"/>
    <col min="8971" max="8971" width="9.33203125" style="516" customWidth="1"/>
    <col min="8972" max="8972" width="2.88671875" style="516" customWidth="1"/>
    <col min="8973" max="8973" width="7.109375" style="516" customWidth="1"/>
    <col min="8974" max="8974" width="2.88671875" style="516" customWidth="1"/>
    <col min="8975" max="8975" width="6.44140625" style="516" customWidth="1"/>
    <col min="8976" max="8976" width="2.88671875" style="516" customWidth="1"/>
    <col min="8977" max="8977" width="4.33203125" style="516" customWidth="1"/>
    <col min="8978" max="8978" width="2.88671875" style="516" customWidth="1"/>
    <col min="8979" max="8980" width="6.88671875" style="516" customWidth="1"/>
    <col min="8981" max="8981" width="7.88671875" style="516" bestFit="1" customWidth="1"/>
    <col min="8982" max="8983" width="8.6640625" style="516"/>
    <col min="8984" max="8984" width="9.33203125" style="516" bestFit="1" customWidth="1"/>
    <col min="8985" max="9216" width="8.6640625" style="516"/>
    <col min="9217" max="9217" width="4.33203125" style="516" customWidth="1"/>
    <col min="9218" max="9218" width="2.88671875" style="516" customWidth="1"/>
    <col min="9219" max="9219" width="40.109375" style="516" customWidth="1"/>
    <col min="9220" max="9220" width="4.33203125" style="516" customWidth="1"/>
    <col min="9221" max="9221" width="9.33203125" style="516" customWidth="1"/>
    <col min="9222" max="9222" width="2.88671875" style="516" customWidth="1"/>
    <col min="9223" max="9223" width="7.109375" style="516" customWidth="1"/>
    <col min="9224" max="9224" width="2.88671875" style="516" customWidth="1"/>
    <col min="9225" max="9226" width="6.44140625" style="516" customWidth="1"/>
    <col min="9227" max="9227" width="9.33203125" style="516" customWidth="1"/>
    <col min="9228" max="9228" width="2.88671875" style="516" customWidth="1"/>
    <col min="9229" max="9229" width="7.109375" style="516" customWidth="1"/>
    <col min="9230" max="9230" width="2.88671875" style="516" customWidth="1"/>
    <col min="9231" max="9231" width="6.44140625" style="516" customWidth="1"/>
    <col min="9232" max="9232" width="2.88671875" style="516" customWidth="1"/>
    <col min="9233" max="9233" width="4.33203125" style="516" customWidth="1"/>
    <col min="9234" max="9234" width="2.88671875" style="516" customWidth="1"/>
    <col min="9235" max="9236" width="6.88671875" style="516" customWidth="1"/>
    <col min="9237" max="9237" width="7.88671875" style="516" bestFit="1" customWidth="1"/>
    <col min="9238" max="9239" width="8.6640625" style="516"/>
    <col min="9240" max="9240" width="9.33203125" style="516" bestFit="1" customWidth="1"/>
    <col min="9241" max="9472" width="8.6640625" style="516"/>
    <col min="9473" max="9473" width="4.33203125" style="516" customWidth="1"/>
    <col min="9474" max="9474" width="2.88671875" style="516" customWidth="1"/>
    <col min="9475" max="9475" width="40.109375" style="516" customWidth="1"/>
    <col min="9476" max="9476" width="4.33203125" style="516" customWidth="1"/>
    <col min="9477" max="9477" width="9.33203125" style="516" customWidth="1"/>
    <col min="9478" max="9478" width="2.88671875" style="516" customWidth="1"/>
    <col min="9479" max="9479" width="7.109375" style="516" customWidth="1"/>
    <col min="9480" max="9480" width="2.88671875" style="516" customWidth="1"/>
    <col min="9481" max="9482" width="6.44140625" style="516" customWidth="1"/>
    <col min="9483" max="9483" width="9.33203125" style="516" customWidth="1"/>
    <col min="9484" max="9484" width="2.88671875" style="516" customWidth="1"/>
    <col min="9485" max="9485" width="7.109375" style="516" customWidth="1"/>
    <col min="9486" max="9486" width="2.88671875" style="516" customWidth="1"/>
    <col min="9487" max="9487" width="6.44140625" style="516" customWidth="1"/>
    <col min="9488" max="9488" width="2.88671875" style="516" customWidth="1"/>
    <col min="9489" max="9489" width="4.33203125" style="516" customWidth="1"/>
    <col min="9490" max="9490" width="2.88671875" style="516" customWidth="1"/>
    <col min="9491" max="9492" width="6.88671875" style="516" customWidth="1"/>
    <col min="9493" max="9493" width="7.88671875" style="516" bestFit="1" customWidth="1"/>
    <col min="9494" max="9495" width="8.6640625" style="516"/>
    <col min="9496" max="9496" width="9.33203125" style="516" bestFit="1" customWidth="1"/>
    <col min="9497" max="9728" width="8.6640625" style="516"/>
    <col min="9729" max="9729" width="4.33203125" style="516" customWidth="1"/>
    <col min="9730" max="9730" width="2.88671875" style="516" customWidth="1"/>
    <col min="9731" max="9731" width="40.109375" style="516" customWidth="1"/>
    <col min="9732" max="9732" width="4.33203125" style="516" customWidth="1"/>
    <col min="9733" max="9733" width="9.33203125" style="516" customWidth="1"/>
    <col min="9734" max="9734" width="2.88671875" style="516" customWidth="1"/>
    <col min="9735" max="9735" width="7.109375" style="516" customWidth="1"/>
    <col min="9736" max="9736" width="2.88671875" style="516" customWidth="1"/>
    <col min="9737" max="9738" width="6.44140625" style="516" customWidth="1"/>
    <col min="9739" max="9739" width="9.33203125" style="516" customWidth="1"/>
    <col min="9740" max="9740" width="2.88671875" style="516" customWidth="1"/>
    <col min="9741" max="9741" width="7.109375" style="516" customWidth="1"/>
    <col min="9742" max="9742" width="2.88671875" style="516" customWidth="1"/>
    <col min="9743" max="9743" width="6.44140625" style="516" customWidth="1"/>
    <col min="9744" max="9744" width="2.88671875" style="516" customWidth="1"/>
    <col min="9745" max="9745" width="4.33203125" style="516" customWidth="1"/>
    <col min="9746" max="9746" width="2.88671875" style="516" customWidth="1"/>
    <col min="9747" max="9748" width="6.88671875" style="516" customWidth="1"/>
    <col min="9749" max="9749" width="7.88671875" style="516" bestFit="1" customWidth="1"/>
    <col min="9750" max="9751" width="8.6640625" style="516"/>
    <col min="9752" max="9752" width="9.33203125" style="516" bestFit="1" customWidth="1"/>
    <col min="9753" max="9984" width="8.6640625" style="516"/>
    <col min="9985" max="9985" width="4.33203125" style="516" customWidth="1"/>
    <col min="9986" max="9986" width="2.88671875" style="516" customWidth="1"/>
    <col min="9987" max="9987" width="40.109375" style="516" customWidth="1"/>
    <col min="9988" max="9988" width="4.33203125" style="516" customWidth="1"/>
    <col min="9989" max="9989" width="9.33203125" style="516" customWidth="1"/>
    <col min="9990" max="9990" width="2.88671875" style="516" customWidth="1"/>
    <col min="9991" max="9991" width="7.109375" style="516" customWidth="1"/>
    <col min="9992" max="9992" width="2.88671875" style="516" customWidth="1"/>
    <col min="9993" max="9994" width="6.44140625" style="516" customWidth="1"/>
    <col min="9995" max="9995" width="9.33203125" style="516" customWidth="1"/>
    <col min="9996" max="9996" width="2.88671875" style="516" customWidth="1"/>
    <col min="9997" max="9997" width="7.109375" style="516" customWidth="1"/>
    <col min="9998" max="9998" width="2.88671875" style="516" customWidth="1"/>
    <col min="9999" max="9999" width="6.44140625" style="516" customWidth="1"/>
    <col min="10000" max="10000" width="2.88671875" style="516" customWidth="1"/>
    <col min="10001" max="10001" width="4.33203125" style="516" customWidth="1"/>
    <col min="10002" max="10002" width="2.88671875" style="516" customWidth="1"/>
    <col min="10003" max="10004" width="6.88671875" style="516" customWidth="1"/>
    <col min="10005" max="10005" width="7.88671875" style="516" bestFit="1" customWidth="1"/>
    <col min="10006" max="10007" width="8.6640625" style="516"/>
    <col min="10008" max="10008" width="9.33203125" style="516" bestFit="1" customWidth="1"/>
    <col min="10009" max="10240" width="8.6640625" style="516"/>
    <col min="10241" max="10241" width="4.33203125" style="516" customWidth="1"/>
    <col min="10242" max="10242" width="2.88671875" style="516" customWidth="1"/>
    <col min="10243" max="10243" width="40.109375" style="516" customWidth="1"/>
    <col min="10244" max="10244" width="4.33203125" style="516" customWidth="1"/>
    <col min="10245" max="10245" width="9.33203125" style="516" customWidth="1"/>
    <col min="10246" max="10246" width="2.88671875" style="516" customWidth="1"/>
    <col min="10247" max="10247" width="7.109375" style="516" customWidth="1"/>
    <col min="10248" max="10248" width="2.88671875" style="516" customWidth="1"/>
    <col min="10249" max="10250" width="6.44140625" style="516" customWidth="1"/>
    <col min="10251" max="10251" width="9.33203125" style="516" customWidth="1"/>
    <col min="10252" max="10252" width="2.88671875" style="516" customWidth="1"/>
    <col min="10253" max="10253" width="7.109375" style="516" customWidth="1"/>
    <col min="10254" max="10254" width="2.88671875" style="516" customWidth="1"/>
    <col min="10255" max="10255" width="6.44140625" style="516" customWidth="1"/>
    <col min="10256" max="10256" width="2.88671875" style="516" customWidth="1"/>
    <col min="10257" max="10257" width="4.33203125" style="516" customWidth="1"/>
    <col min="10258" max="10258" width="2.88671875" style="516" customWidth="1"/>
    <col min="10259" max="10260" width="6.88671875" style="516" customWidth="1"/>
    <col min="10261" max="10261" width="7.88671875" style="516" bestFit="1" customWidth="1"/>
    <col min="10262" max="10263" width="8.6640625" style="516"/>
    <col min="10264" max="10264" width="9.33203125" style="516" bestFit="1" customWidth="1"/>
    <col min="10265" max="10496" width="8.6640625" style="516"/>
    <col min="10497" max="10497" width="4.33203125" style="516" customWidth="1"/>
    <col min="10498" max="10498" width="2.88671875" style="516" customWidth="1"/>
    <col min="10499" max="10499" width="40.109375" style="516" customWidth="1"/>
    <col min="10500" max="10500" width="4.33203125" style="516" customWidth="1"/>
    <col min="10501" max="10501" width="9.33203125" style="516" customWidth="1"/>
    <col min="10502" max="10502" width="2.88671875" style="516" customWidth="1"/>
    <col min="10503" max="10503" width="7.109375" style="516" customWidth="1"/>
    <col min="10504" max="10504" width="2.88671875" style="516" customWidth="1"/>
    <col min="10505" max="10506" width="6.44140625" style="516" customWidth="1"/>
    <col min="10507" max="10507" width="9.33203125" style="516" customWidth="1"/>
    <col min="10508" max="10508" width="2.88671875" style="516" customWidth="1"/>
    <col min="10509" max="10509" width="7.109375" style="516" customWidth="1"/>
    <col min="10510" max="10510" width="2.88671875" style="516" customWidth="1"/>
    <col min="10511" max="10511" width="6.44140625" style="516" customWidth="1"/>
    <col min="10512" max="10512" width="2.88671875" style="516" customWidth="1"/>
    <col min="10513" max="10513" width="4.33203125" style="516" customWidth="1"/>
    <col min="10514" max="10514" width="2.88671875" style="516" customWidth="1"/>
    <col min="10515" max="10516" width="6.88671875" style="516" customWidth="1"/>
    <col min="10517" max="10517" width="7.88671875" style="516" bestFit="1" customWidth="1"/>
    <col min="10518" max="10519" width="8.6640625" style="516"/>
    <col min="10520" max="10520" width="9.33203125" style="516" bestFit="1" customWidth="1"/>
    <col min="10521" max="10752" width="8.6640625" style="516"/>
    <col min="10753" max="10753" width="4.33203125" style="516" customWidth="1"/>
    <col min="10754" max="10754" width="2.88671875" style="516" customWidth="1"/>
    <col min="10755" max="10755" width="40.109375" style="516" customWidth="1"/>
    <col min="10756" max="10756" width="4.33203125" style="516" customWidth="1"/>
    <col min="10757" max="10757" width="9.33203125" style="516" customWidth="1"/>
    <col min="10758" max="10758" width="2.88671875" style="516" customWidth="1"/>
    <col min="10759" max="10759" width="7.109375" style="516" customWidth="1"/>
    <col min="10760" max="10760" width="2.88671875" style="516" customWidth="1"/>
    <col min="10761" max="10762" width="6.44140625" style="516" customWidth="1"/>
    <col min="10763" max="10763" width="9.33203125" style="516" customWidth="1"/>
    <col min="10764" max="10764" width="2.88671875" style="516" customWidth="1"/>
    <col min="10765" max="10765" width="7.109375" style="516" customWidth="1"/>
    <col min="10766" max="10766" width="2.88671875" style="516" customWidth="1"/>
    <col min="10767" max="10767" width="6.44140625" style="516" customWidth="1"/>
    <col min="10768" max="10768" width="2.88671875" style="516" customWidth="1"/>
    <col min="10769" max="10769" width="4.33203125" style="516" customWidth="1"/>
    <col min="10770" max="10770" width="2.88671875" style="516" customWidth="1"/>
    <col min="10771" max="10772" width="6.88671875" style="516" customWidth="1"/>
    <col min="10773" max="10773" width="7.88671875" style="516" bestFit="1" customWidth="1"/>
    <col min="10774" max="10775" width="8.6640625" style="516"/>
    <col min="10776" max="10776" width="9.33203125" style="516" bestFit="1" customWidth="1"/>
    <col min="10777" max="11008" width="8.6640625" style="516"/>
    <col min="11009" max="11009" width="4.33203125" style="516" customWidth="1"/>
    <col min="11010" max="11010" width="2.88671875" style="516" customWidth="1"/>
    <col min="11011" max="11011" width="40.109375" style="516" customWidth="1"/>
    <col min="11012" max="11012" width="4.33203125" style="516" customWidth="1"/>
    <col min="11013" max="11013" width="9.33203125" style="516" customWidth="1"/>
    <col min="11014" max="11014" width="2.88671875" style="516" customWidth="1"/>
    <col min="11015" max="11015" width="7.109375" style="516" customWidth="1"/>
    <col min="11016" max="11016" width="2.88671875" style="516" customWidth="1"/>
    <col min="11017" max="11018" width="6.44140625" style="516" customWidth="1"/>
    <col min="11019" max="11019" width="9.33203125" style="516" customWidth="1"/>
    <col min="11020" max="11020" width="2.88671875" style="516" customWidth="1"/>
    <col min="11021" max="11021" width="7.109375" style="516" customWidth="1"/>
    <col min="11022" max="11022" width="2.88671875" style="516" customWidth="1"/>
    <col min="11023" max="11023" width="6.44140625" style="516" customWidth="1"/>
    <col min="11024" max="11024" width="2.88671875" style="516" customWidth="1"/>
    <col min="11025" max="11025" width="4.33203125" style="516" customWidth="1"/>
    <col min="11026" max="11026" width="2.88671875" style="516" customWidth="1"/>
    <col min="11027" max="11028" width="6.88671875" style="516" customWidth="1"/>
    <col min="11029" max="11029" width="7.88671875" style="516" bestFit="1" customWidth="1"/>
    <col min="11030" max="11031" width="8.6640625" style="516"/>
    <col min="11032" max="11032" width="9.33203125" style="516" bestFit="1" customWidth="1"/>
    <col min="11033" max="11264" width="8.6640625" style="516"/>
    <col min="11265" max="11265" width="4.33203125" style="516" customWidth="1"/>
    <col min="11266" max="11266" width="2.88671875" style="516" customWidth="1"/>
    <col min="11267" max="11267" width="40.109375" style="516" customWidth="1"/>
    <col min="11268" max="11268" width="4.33203125" style="516" customWidth="1"/>
    <col min="11269" max="11269" width="9.33203125" style="516" customWidth="1"/>
    <col min="11270" max="11270" width="2.88671875" style="516" customWidth="1"/>
    <col min="11271" max="11271" width="7.109375" style="516" customWidth="1"/>
    <col min="11272" max="11272" width="2.88671875" style="516" customWidth="1"/>
    <col min="11273" max="11274" width="6.44140625" style="516" customWidth="1"/>
    <col min="11275" max="11275" width="9.33203125" style="516" customWidth="1"/>
    <col min="11276" max="11276" width="2.88671875" style="516" customWidth="1"/>
    <col min="11277" max="11277" width="7.109375" style="516" customWidth="1"/>
    <col min="11278" max="11278" width="2.88671875" style="516" customWidth="1"/>
    <col min="11279" max="11279" width="6.44140625" style="516" customWidth="1"/>
    <col min="11280" max="11280" width="2.88671875" style="516" customWidth="1"/>
    <col min="11281" max="11281" width="4.33203125" style="516" customWidth="1"/>
    <col min="11282" max="11282" width="2.88671875" style="516" customWidth="1"/>
    <col min="11283" max="11284" width="6.88671875" style="516" customWidth="1"/>
    <col min="11285" max="11285" width="7.88671875" style="516" bestFit="1" customWidth="1"/>
    <col min="11286" max="11287" width="8.6640625" style="516"/>
    <col min="11288" max="11288" width="9.33203125" style="516" bestFit="1" customWidth="1"/>
    <col min="11289" max="11520" width="8.6640625" style="516"/>
    <col min="11521" max="11521" width="4.33203125" style="516" customWidth="1"/>
    <col min="11522" max="11522" width="2.88671875" style="516" customWidth="1"/>
    <col min="11523" max="11523" width="40.109375" style="516" customWidth="1"/>
    <col min="11524" max="11524" width="4.33203125" style="516" customWidth="1"/>
    <col min="11525" max="11525" width="9.33203125" style="516" customWidth="1"/>
    <col min="11526" max="11526" width="2.88671875" style="516" customWidth="1"/>
    <col min="11527" max="11527" width="7.109375" style="516" customWidth="1"/>
    <col min="11528" max="11528" width="2.88671875" style="516" customWidth="1"/>
    <col min="11529" max="11530" width="6.44140625" style="516" customWidth="1"/>
    <col min="11531" max="11531" width="9.33203125" style="516" customWidth="1"/>
    <col min="11532" max="11532" width="2.88671875" style="516" customWidth="1"/>
    <col min="11533" max="11533" width="7.109375" style="516" customWidth="1"/>
    <col min="11534" max="11534" width="2.88671875" style="516" customWidth="1"/>
    <col min="11535" max="11535" width="6.44140625" style="516" customWidth="1"/>
    <col min="11536" max="11536" width="2.88671875" style="516" customWidth="1"/>
    <col min="11537" max="11537" width="4.33203125" style="516" customWidth="1"/>
    <col min="11538" max="11538" width="2.88671875" style="516" customWidth="1"/>
    <col min="11539" max="11540" width="6.88671875" style="516" customWidth="1"/>
    <col min="11541" max="11541" width="7.88671875" style="516" bestFit="1" customWidth="1"/>
    <col min="11542" max="11543" width="8.6640625" style="516"/>
    <col min="11544" max="11544" width="9.33203125" style="516" bestFit="1" customWidth="1"/>
    <col min="11545" max="11776" width="8.6640625" style="516"/>
    <col min="11777" max="11777" width="4.33203125" style="516" customWidth="1"/>
    <col min="11778" max="11778" width="2.88671875" style="516" customWidth="1"/>
    <col min="11779" max="11779" width="40.109375" style="516" customWidth="1"/>
    <col min="11780" max="11780" width="4.33203125" style="516" customWidth="1"/>
    <col min="11781" max="11781" width="9.33203125" style="516" customWidth="1"/>
    <col min="11782" max="11782" width="2.88671875" style="516" customWidth="1"/>
    <col min="11783" max="11783" width="7.109375" style="516" customWidth="1"/>
    <col min="11784" max="11784" width="2.88671875" style="516" customWidth="1"/>
    <col min="11785" max="11786" width="6.44140625" style="516" customWidth="1"/>
    <col min="11787" max="11787" width="9.33203125" style="516" customWidth="1"/>
    <col min="11788" max="11788" width="2.88671875" style="516" customWidth="1"/>
    <col min="11789" max="11789" width="7.109375" style="516" customWidth="1"/>
    <col min="11790" max="11790" width="2.88671875" style="516" customWidth="1"/>
    <col min="11791" max="11791" width="6.44140625" style="516" customWidth="1"/>
    <col min="11792" max="11792" width="2.88671875" style="516" customWidth="1"/>
    <col min="11793" max="11793" width="4.33203125" style="516" customWidth="1"/>
    <col min="11794" max="11794" width="2.88671875" style="516" customWidth="1"/>
    <col min="11795" max="11796" width="6.88671875" style="516" customWidth="1"/>
    <col min="11797" max="11797" width="7.88671875" style="516" bestFit="1" customWidth="1"/>
    <col min="11798" max="11799" width="8.6640625" style="516"/>
    <col min="11800" max="11800" width="9.33203125" style="516" bestFit="1" customWidth="1"/>
    <col min="11801" max="12032" width="8.6640625" style="516"/>
    <col min="12033" max="12033" width="4.33203125" style="516" customWidth="1"/>
    <col min="12034" max="12034" width="2.88671875" style="516" customWidth="1"/>
    <col min="12035" max="12035" width="40.109375" style="516" customWidth="1"/>
    <col min="12036" max="12036" width="4.33203125" style="516" customWidth="1"/>
    <col min="12037" max="12037" width="9.33203125" style="516" customWidth="1"/>
    <col min="12038" max="12038" width="2.88671875" style="516" customWidth="1"/>
    <col min="12039" max="12039" width="7.109375" style="516" customWidth="1"/>
    <col min="12040" max="12040" width="2.88671875" style="516" customWidth="1"/>
    <col min="12041" max="12042" width="6.44140625" style="516" customWidth="1"/>
    <col min="12043" max="12043" width="9.33203125" style="516" customWidth="1"/>
    <col min="12044" max="12044" width="2.88671875" style="516" customWidth="1"/>
    <col min="12045" max="12045" width="7.109375" style="516" customWidth="1"/>
    <col min="12046" max="12046" width="2.88671875" style="516" customWidth="1"/>
    <col min="12047" max="12047" width="6.44140625" style="516" customWidth="1"/>
    <col min="12048" max="12048" width="2.88671875" style="516" customWidth="1"/>
    <col min="12049" max="12049" width="4.33203125" style="516" customWidth="1"/>
    <col min="12050" max="12050" width="2.88671875" style="516" customWidth="1"/>
    <col min="12051" max="12052" width="6.88671875" style="516" customWidth="1"/>
    <col min="12053" max="12053" width="7.88671875" style="516" bestFit="1" customWidth="1"/>
    <col min="12054" max="12055" width="8.6640625" style="516"/>
    <col min="12056" max="12056" width="9.33203125" style="516" bestFit="1" customWidth="1"/>
    <col min="12057" max="12288" width="8.6640625" style="516"/>
    <col min="12289" max="12289" width="4.33203125" style="516" customWidth="1"/>
    <col min="12290" max="12290" width="2.88671875" style="516" customWidth="1"/>
    <col min="12291" max="12291" width="40.109375" style="516" customWidth="1"/>
    <col min="12292" max="12292" width="4.33203125" style="516" customWidth="1"/>
    <col min="12293" max="12293" width="9.33203125" style="516" customWidth="1"/>
    <col min="12294" max="12294" width="2.88671875" style="516" customWidth="1"/>
    <col min="12295" max="12295" width="7.109375" style="516" customWidth="1"/>
    <col min="12296" max="12296" width="2.88671875" style="516" customWidth="1"/>
    <col min="12297" max="12298" width="6.44140625" style="516" customWidth="1"/>
    <col min="12299" max="12299" width="9.33203125" style="516" customWidth="1"/>
    <col min="12300" max="12300" width="2.88671875" style="516" customWidth="1"/>
    <col min="12301" max="12301" width="7.109375" style="516" customWidth="1"/>
    <col min="12302" max="12302" width="2.88671875" style="516" customWidth="1"/>
    <col min="12303" max="12303" width="6.44140625" style="516" customWidth="1"/>
    <col min="12304" max="12304" width="2.88671875" style="516" customWidth="1"/>
    <col min="12305" max="12305" width="4.33203125" style="516" customWidth="1"/>
    <col min="12306" max="12306" width="2.88671875" style="516" customWidth="1"/>
    <col min="12307" max="12308" width="6.88671875" style="516" customWidth="1"/>
    <col min="12309" max="12309" width="7.88671875" style="516" bestFit="1" customWidth="1"/>
    <col min="12310" max="12311" width="8.6640625" style="516"/>
    <col min="12312" max="12312" width="9.33203125" style="516" bestFit="1" customWidth="1"/>
    <col min="12313" max="12544" width="8.6640625" style="516"/>
    <col min="12545" max="12545" width="4.33203125" style="516" customWidth="1"/>
    <col min="12546" max="12546" width="2.88671875" style="516" customWidth="1"/>
    <col min="12547" max="12547" width="40.109375" style="516" customWidth="1"/>
    <col min="12548" max="12548" width="4.33203125" style="516" customWidth="1"/>
    <col min="12549" max="12549" width="9.33203125" style="516" customWidth="1"/>
    <col min="12550" max="12550" width="2.88671875" style="516" customWidth="1"/>
    <col min="12551" max="12551" width="7.109375" style="516" customWidth="1"/>
    <col min="12552" max="12552" width="2.88671875" style="516" customWidth="1"/>
    <col min="12553" max="12554" width="6.44140625" style="516" customWidth="1"/>
    <col min="12555" max="12555" width="9.33203125" style="516" customWidth="1"/>
    <col min="12556" max="12556" width="2.88671875" style="516" customWidth="1"/>
    <col min="12557" max="12557" width="7.109375" style="516" customWidth="1"/>
    <col min="12558" max="12558" width="2.88671875" style="516" customWidth="1"/>
    <col min="12559" max="12559" width="6.44140625" style="516" customWidth="1"/>
    <col min="12560" max="12560" width="2.88671875" style="516" customWidth="1"/>
    <col min="12561" max="12561" width="4.33203125" style="516" customWidth="1"/>
    <col min="12562" max="12562" width="2.88671875" style="516" customWidth="1"/>
    <col min="12563" max="12564" width="6.88671875" style="516" customWidth="1"/>
    <col min="12565" max="12565" width="7.88671875" style="516" bestFit="1" customWidth="1"/>
    <col min="12566" max="12567" width="8.6640625" style="516"/>
    <col min="12568" max="12568" width="9.33203125" style="516" bestFit="1" customWidth="1"/>
    <col min="12569" max="12800" width="8.6640625" style="516"/>
    <col min="12801" max="12801" width="4.33203125" style="516" customWidth="1"/>
    <col min="12802" max="12802" width="2.88671875" style="516" customWidth="1"/>
    <col min="12803" max="12803" width="40.109375" style="516" customWidth="1"/>
    <col min="12804" max="12804" width="4.33203125" style="516" customWidth="1"/>
    <col min="12805" max="12805" width="9.33203125" style="516" customWidth="1"/>
    <col min="12806" max="12806" width="2.88671875" style="516" customWidth="1"/>
    <col min="12807" max="12807" width="7.109375" style="516" customWidth="1"/>
    <col min="12808" max="12808" width="2.88671875" style="516" customWidth="1"/>
    <col min="12809" max="12810" width="6.44140625" style="516" customWidth="1"/>
    <col min="12811" max="12811" width="9.33203125" style="516" customWidth="1"/>
    <col min="12812" max="12812" width="2.88671875" style="516" customWidth="1"/>
    <col min="12813" max="12813" width="7.109375" style="516" customWidth="1"/>
    <col min="12814" max="12814" width="2.88671875" style="516" customWidth="1"/>
    <col min="12815" max="12815" width="6.44140625" style="516" customWidth="1"/>
    <col min="12816" max="12816" width="2.88671875" style="516" customWidth="1"/>
    <col min="12817" max="12817" width="4.33203125" style="516" customWidth="1"/>
    <col min="12818" max="12818" width="2.88671875" style="516" customWidth="1"/>
    <col min="12819" max="12820" width="6.88671875" style="516" customWidth="1"/>
    <col min="12821" max="12821" width="7.88671875" style="516" bestFit="1" customWidth="1"/>
    <col min="12822" max="12823" width="8.6640625" style="516"/>
    <col min="12824" max="12824" width="9.33203125" style="516" bestFit="1" customWidth="1"/>
    <col min="12825" max="13056" width="8.6640625" style="516"/>
    <col min="13057" max="13057" width="4.33203125" style="516" customWidth="1"/>
    <col min="13058" max="13058" width="2.88671875" style="516" customWidth="1"/>
    <col min="13059" max="13059" width="40.109375" style="516" customWidth="1"/>
    <col min="13060" max="13060" width="4.33203125" style="516" customWidth="1"/>
    <col min="13061" max="13061" width="9.33203125" style="516" customWidth="1"/>
    <col min="13062" max="13062" width="2.88671875" style="516" customWidth="1"/>
    <col min="13063" max="13063" width="7.109375" style="516" customWidth="1"/>
    <col min="13064" max="13064" width="2.88671875" style="516" customWidth="1"/>
    <col min="13065" max="13066" width="6.44140625" style="516" customWidth="1"/>
    <col min="13067" max="13067" width="9.33203125" style="516" customWidth="1"/>
    <col min="13068" max="13068" width="2.88671875" style="516" customWidth="1"/>
    <col min="13069" max="13069" width="7.109375" style="516" customWidth="1"/>
    <col min="13070" max="13070" width="2.88671875" style="516" customWidth="1"/>
    <col min="13071" max="13071" width="6.44140625" style="516" customWidth="1"/>
    <col min="13072" max="13072" width="2.88671875" style="516" customWidth="1"/>
    <col min="13073" max="13073" width="4.33203125" style="516" customWidth="1"/>
    <col min="13074" max="13074" width="2.88671875" style="516" customWidth="1"/>
    <col min="13075" max="13076" width="6.88671875" style="516" customWidth="1"/>
    <col min="13077" max="13077" width="7.88671875" style="516" bestFit="1" customWidth="1"/>
    <col min="13078" max="13079" width="8.6640625" style="516"/>
    <col min="13080" max="13080" width="9.33203125" style="516" bestFit="1" customWidth="1"/>
    <col min="13081" max="13312" width="8.6640625" style="516"/>
    <col min="13313" max="13313" width="4.33203125" style="516" customWidth="1"/>
    <col min="13314" max="13314" width="2.88671875" style="516" customWidth="1"/>
    <col min="13315" max="13315" width="40.109375" style="516" customWidth="1"/>
    <col min="13316" max="13316" width="4.33203125" style="516" customWidth="1"/>
    <col min="13317" max="13317" width="9.33203125" style="516" customWidth="1"/>
    <col min="13318" max="13318" width="2.88671875" style="516" customWidth="1"/>
    <col min="13319" max="13319" width="7.109375" style="516" customWidth="1"/>
    <col min="13320" max="13320" width="2.88671875" style="516" customWidth="1"/>
    <col min="13321" max="13322" width="6.44140625" style="516" customWidth="1"/>
    <col min="13323" max="13323" width="9.33203125" style="516" customWidth="1"/>
    <col min="13324" max="13324" width="2.88671875" style="516" customWidth="1"/>
    <col min="13325" max="13325" width="7.109375" style="516" customWidth="1"/>
    <col min="13326" max="13326" width="2.88671875" style="516" customWidth="1"/>
    <col min="13327" max="13327" width="6.44140625" style="516" customWidth="1"/>
    <col min="13328" max="13328" width="2.88671875" style="516" customWidth="1"/>
    <col min="13329" max="13329" width="4.33203125" style="516" customWidth="1"/>
    <col min="13330" max="13330" width="2.88671875" style="516" customWidth="1"/>
    <col min="13331" max="13332" width="6.88671875" style="516" customWidth="1"/>
    <col min="13333" max="13333" width="7.88671875" style="516" bestFit="1" customWidth="1"/>
    <col min="13334" max="13335" width="8.6640625" style="516"/>
    <col min="13336" max="13336" width="9.33203125" style="516" bestFit="1" customWidth="1"/>
    <col min="13337" max="13568" width="8.6640625" style="516"/>
    <col min="13569" max="13569" width="4.33203125" style="516" customWidth="1"/>
    <col min="13570" max="13570" width="2.88671875" style="516" customWidth="1"/>
    <col min="13571" max="13571" width="40.109375" style="516" customWidth="1"/>
    <col min="13572" max="13572" width="4.33203125" style="516" customWidth="1"/>
    <col min="13573" max="13573" width="9.33203125" style="516" customWidth="1"/>
    <col min="13574" max="13574" width="2.88671875" style="516" customWidth="1"/>
    <col min="13575" max="13575" width="7.109375" style="516" customWidth="1"/>
    <col min="13576" max="13576" width="2.88671875" style="516" customWidth="1"/>
    <col min="13577" max="13578" width="6.44140625" style="516" customWidth="1"/>
    <col min="13579" max="13579" width="9.33203125" style="516" customWidth="1"/>
    <col min="13580" max="13580" width="2.88671875" style="516" customWidth="1"/>
    <col min="13581" max="13581" width="7.109375" style="516" customWidth="1"/>
    <col min="13582" max="13582" width="2.88671875" style="516" customWidth="1"/>
    <col min="13583" max="13583" width="6.44140625" style="516" customWidth="1"/>
    <col min="13584" max="13584" width="2.88671875" style="516" customWidth="1"/>
    <col min="13585" max="13585" width="4.33203125" style="516" customWidth="1"/>
    <col min="13586" max="13586" width="2.88671875" style="516" customWidth="1"/>
    <col min="13587" max="13588" width="6.88671875" style="516" customWidth="1"/>
    <col min="13589" max="13589" width="7.88671875" style="516" bestFit="1" customWidth="1"/>
    <col min="13590" max="13591" width="8.6640625" style="516"/>
    <col min="13592" max="13592" width="9.33203125" style="516" bestFit="1" customWidth="1"/>
    <col min="13593" max="13824" width="8.6640625" style="516"/>
    <col min="13825" max="13825" width="4.33203125" style="516" customWidth="1"/>
    <col min="13826" max="13826" width="2.88671875" style="516" customWidth="1"/>
    <col min="13827" max="13827" width="40.109375" style="516" customWidth="1"/>
    <col min="13828" max="13828" width="4.33203125" style="516" customWidth="1"/>
    <col min="13829" max="13829" width="9.33203125" style="516" customWidth="1"/>
    <col min="13830" max="13830" width="2.88671875" style="516" customWidth="1"/>
    <col min="13831" max="13831" width="7.109375" style="516" customWidth="1"/>
    <col min="13832" max="13832" width="2.88671875" style="516" customWidth="1"/>
    <col min="13833" max="13834" width="6.44140625" style="516" customWidth="1"/>
    <col min="13835" max="13835" width="9.33203125" style="516" customWidth="1"/>
    <col min="13836" max="13836" width="2.88671875" style="516" customWidth="1"/>
    <col min="13837" max="13837" width="7.109375" style="516" customWidth="1"/>
    <col min="13838" max="13838" width="2.88671875" style="516" customWidth="1"/>
    <col min="13839" max="13839" width="6.44140625" style="516" customWidth="1"/>
    <col min="13840" max="13840" width="2.88671875" style="516" customWidth="1"/>
    <col min="13841" max="13841" width="4.33203125" style="516" customWidth="1"/>
    <col min="13842" max="13842" width="2.88671875" style="516" customWidth="1"/>
    <col min="13843" max="13844" width="6.88671875" style="516" customWidth="1"/>
    <col min="13845" max="13845" width="7.88671875" style="516" bestFit="1" customWidth="1"/>
    <col min="13846" max="13847" width="8.6640625" style="516"/>
    <col min="13848" max="13848" width="9.33203125" style="516" bestFit="1" customWidth="1"/>
    <col min="13849" max="14080" width="8.6640625" style="516"/>
    <col min="14081" max="14081" width="4.33203125" style="516" customWidth="1"/>
    <col min="14082" max="14082" width="2.88671875" style="516" customWidth="1"/>
    <col min="14083" max="14083" width="40.109375" style="516" customWidth="1"/>
    <col min="14084" max="14084" width="4.33203125" style="516" customWidth="1"/>
    <col min="14085" max="14085" width="9.33203125" style="516" customWidth="1"/>
    <col min="14086" max="14086" width="2.88671875" style="516" customWidth="1"/>
    <col min="14087" max="14087" width="7.109375" style="516" customWidth="1"/>
    <col min="14088" max="14088" width="2.88671875" style="516" customWidth="1"/>
    <col min="14089" max="14090" width="6.44140625" style="516" customWidth="1"/>
    <col min="14091" max="14091" width="9.33203125" style="516" customWidth="1"/>
    <col min="14092" max="14092" width="2.88671875" style="516" customWidth="1"/>
    <col min="14093" max="14093" width="7.109375" style="516" customWidth="1"/>
    <col min="14094" max="14094" width="2.88671875" style="516" customWidth="1"/>
    <col min="14095" max="14095" width="6.44140625" style="516" customWidth="1"/>
    <col min="14096" max="14096" width="2.88671875" style="516" customWidth="1"/>
    <col min="14097" max="14097" width="4.33203125" style="516" customWidth="1"/>
    <col min="14098" max="14098" width="2.88671875" style="516" customWidth="1"/>
    <col min="14099" max="14100" width="6.88671875" style="516" customWidth="1"/>
    <col min="14101" max="14101" width="7.88671875" style="516" bestFit="1" customWidth="1"/>
    <col min="14102" max="14103" width="8.6640625" style="516"/>
    <col min="14104" max="14104" width="9.33203125" style="516" bestFit="1" customWidth="1"/>
    <col min="14105" max="14336" width="8.6640625" style="516"/>
    <col min="14337" max="14337" width="4.33203125" style="516" customWidth="1"/>
    <col min="14338" max="14338" width="2.88671875" style="516" customWidth="1"/>
    <col min="14339" max="14339" width="40.109375" style="516" customWidth="1"/>
    <col min="14340" max="14340" width="4.33203125" style="516" customWidth="1"/>
    <col min="14341" max="14341" width="9.33203125" style="516" customWidth="1"/>
    <col min="14342" max="14342" width="2.88671875" style="516" customWidth="1"/>
    <col min="14343" max="14343" width="7.109375" style="516" customWidth="1"/>
    <col min="14344" max="14344" width="2.88671875" style="516" customWidth="1"/>
    <col min="14345" max="14346" width="6.44140625" style="516" customWidth="1"/>
    <col min="14347" max="14347" width="9.33203125" style="516" customWidth="1"/>
    <col min="14348" max="14348" width="2.88671875" style="516" customWidth="1"/>
    <col min="14349" max="14349" width="7.109375" style="516" customWidth="1"/>
    <col min="14350" max="14350" width="2.88671875" style="516" customWidth="1"/>
    <col min="14351" max="14351" width="6.44140625" style="516" customWidth="1"/>
    <col min="14352" max="14352" width="2.88671875" style="516" customWidth="1"/>
    <col min="14353" max="14353" width="4.33203125" style="516" customWidth="1"/>
    <col min="14354" max="14354" width="2.88671875" style="516" customWidth="1"/>
    <col min="14355" max="14356" width="6.88671875" style="516" customWidth="1"/>
    <col min="14357" max="14357" width="7.88671875" style="516" bestFit="1" customWidth="1"/>
    <col min="14358" max="14359" width="8.6640625" style="516"/>
    <col min="14360" max="14360" width="9.33203125" style="516" bestFit="1" customWidth="1"/>
    <col min="14361" max="14592" width="8.6640625" style="516"/>
    <col min="14593" max="14593" width="4.33203125" style="516" customWidth="1"/>
    <col min="14594" max="14594" width="2.88671875" style="516" customWidth="1"/>
    <col min="14595" max="14595" width="40.109375" style="516" customWidth="1"/>
    <col min="14596" max="14596" width="4.33203125" style="516" customWidth="1"/>
    <col min="14597" max="14597" width="9.33203125" style="516" customWidth="1"/>
    <col min="14598" max="14598" width="2.88671875" style="516" customWidth="1"/>
    <col min="14599" max="14599" width="7.109375" style="516" customWidth="1"/>
    <col min="14600" max="14600" width="2.88671875" style="516" customWidth="1"/>
    <col min="14601" max="14602" width="6.44140625" style="516" customWidth="1"/>
    <col min="14603" max="14603" width="9.33203125" style="516" customWidth="1"/>
    <col min="14604" max="14604" width="2.88671875" style="516" customWidth="1"/>
    <col min="14605" max="14605" width="7.109375" style="516" customWidth="1"/>
    <col min="14606" max="14606" width="2.88671875" style="516" customWidth="1"/>
    <col min="14607" max="14607" width="6.44140625" style="516" customWidth="1"/>
    <col min="14608" max="14608" width="2.88671875" style="516" customWidth="1"/>
    <col min="14609" max="14609" width="4.33203125" style="516" customWidth="1"/>
    <col min="14610" max="14610" width="2.88671875" style="516" customWidth="1"/>
    <col min="14611" max="14612" width="6.88671875" style="516" customWidth="1"/>
    <col min="14613" max="14613" width="7.88671875" style="516" bestFit="1" customWidth="1"/>
    <col min="14614" max="14615" width="8.6640625" style="516"/>
    <col min="14616" max="14616" width="9.33203125" style="516" bestFit="1" customWidth="1"/>
    <col min="14617" max="14848" width="8.6640625" style="516"/>
    <col min="14849" max="14849" width="4.33203125" style="516" customWidth="1"/>
    <col min="14850" max="14850" width="2.88671875" style="516" customWidth="1"/>
    <col min="14851" max="14851" width="40.109375" style="516" customWidth="1"/>
    <col min="14852" max="14852" width="4.33203125" style="516" customWidth="1"/>
    <col min="14853" max="14853" width="9.33203125" style="516" customWidth="1"/>
    <col min="14854" max="14854" width="2.88671875" style="516" customWidth="1"/>
    <col min="14855" max="14855" width="7.109375" style="516" customWidth="1"/>
    <col min="14856" max="14856" width="2.88671875" style="516" customWidth="1"/>
    <col min="14857" max="14858" width="6.44140625" style="516" customWidth="1"/>
    <col min="14859" max="14859" width="9.33203125" style="516" customWidth="1"/>
    <col min="14860" max="14860" width="2.88671875" style="516" customWidth="1"/>
    <col min="14861" max="14861" width="7.109375" style="516" customWidth="1"/>
    <col min="14862" max="14862" width="2.88671875" style="516" customWidth="1"/>
    <col min="14863" max="14863" width="6.44140625" style="516" customWidth="1"/>
    <col min="14864" max="14864" width="2.88671875" style="516" customWidth="1"/>
    <col min="14865" max="14865" width="4.33203125" style="516" customWidth="1"/>
    <col min="14866" max="14866" width="2.88671875" style="516" customWidth="1"/>
    <col min="14867" max="14868" width="6.88671875" style="516" customWidth="1"/>
    <col min="14869" max="14869" width="7.88671875" style="516" bestFit="1" customWidth="1"/>
    <col min="14870" max="14871" width="8.6640625" style="516"/>
    <col min="14872" max="14872" width="9.33203125" style="516" bestFit="1" customWidth="1"/>
    <col min="14873" max="15104" width="8.6640625" style="516"/>
    <col min="15105" max="15105" width="4.33203125" style="516" customWidth="1"/>
    <col min="15106" max="15106" width="2.88671875" style="516" customWidth="1"/>
    <col min="15107" max="15107" width="40.109375" style="516" customWidth="1"/>
    <col min="15108" max="15108" width="4.33203125" style="516" customWidth="1"/>
    <col min="15109" max="15109" width="9.33203125" style="516" customWidth="1"/>
    <col min="15110" max="15110" width="2.88671875" style="516" customWidth="1"/>
    <col min="15111" max="15111" width="7.109375" style="516" customWidth="1"/>
    <col min="15112" max="15112" width="2.88671875" style="516" customWidth="1"/>
    <col min="15113" max="15114" width="6.44140625" style="516" customWidth="1"/>
    <col min="15115" max="15115" width="9.33203125" style="516" customWidth="1"/>
    <col min="15116" max="15116" width="2.88671875" style="516" customWidth="1"/>
    <col min="15117" max="15117" width="7.109375" style="516" customWidth="1"/>
    <col min="15118" max="15118" width="2.88671875" style="516" customWidth="1"/>
    <col min="15119" max="15119" width="6.44140625" style="516" customWidth="1"/>
    <col min="15120" max="15120" width="2.88671875" style="516" customWidth="1"/>
    <col min="15121" max="15121" width="4.33203125" style="516" customWidth="1"/>
    <col min="15122" max="15122" width="2.88671875" style="516" customWidth="1"/>
    <col min="15123" max="15124" width="6.88671875" style="516" customWidth="1"/>
    <col min="15125" max="15125" width="7.88671875" style="516" bestFit="1" customWidth="1"/>
    <col min="15126" max="15127" width="8.6640625" style="516"/>
    <col min="15128" max="15128" width="9.33203125" style="516" bestFit="1" customWidth="1"/>
    <col min="15129" max="15360" width="8.6640625" style="516"/>
    <col min="15361" max="15361" width="4.33203125" style="516" customWidth="1"/>
    <col min="15362" max="15362" width="2.88671875" style="516" customWidth="1"/>
    <col min="15363" max="15363" width="40.109375" style="516" customWidth="1"/>
    <col min="15364" max="15364" width="4.33203125" style="516" customWidth="1"/>
    <col min="15365" max="15365" width="9.33203125" style="516" customWidth="1"/>
    <col min="15366" max="15366" width="2.88671875" style="516" customWidth="1"/>
    <col min="15367" max="15367" width="7.109375" style="516" customWidth="1"/>
    <col min="15368" max="15368" width="2.88671875" style="516" customWidth="1"/>
    <col min="15369" max="15370" width="6.44140625" style="516" customWidth="1"/>
    <col min="15371" max="15371" width="9.33203125" style="516" customWidth="1"/>
    <col min="15372" max="15372" width="2.88671875" style="516" customWidth="1"/>
    <col min="15373" max="15373" width="7.109375" style="516" customWidth="1"/>
    <col min="15374" max="15374" width="2.88671875" style="516" customWidth="1"/>
    <col min="15375" max="15375" width="6.44140625" style="516" customWidth="1"/>
    <col min="15376" max="15376" width="2.88671875" style="516" customWidth="1"/>
    <col min="15377" max="15377" width="4.33203125" style="516" customWidth="1"/>
    <col min="15378" max="15378" width="2.88671875" style="516" customWidth="1"/>
    <col min="15379" max="15380" width="6.88671875" style="516" customWidth="1"/>
    <col min="15381" max="15381" width="7.88671875" style="516" bestFit="1" customWidth="1"/>
    <col min="15382" max="15383" width="8.6640625" style="516"/>
    <col min="15384" max="15384" width="9.33203125" style="516" bestFit="1" customWidth="1"/>
    <col min="15385" max="15616" width="8.6640625" style="516"/>
    <col min="15617" max="15617" width="4.33203125" style="516" customWidth="1"/>
    <col min="15618" max="15618" width="2.88671875" style="516" customWidth="1"/>
    <col min="15619" max="15619" width="40.109375" style="516" customWidth="1"/>
    <col min="15620" max="15620" width="4.33203125" style="516" customWidth="1"/>
    <col min="15621" max="15621" width="9.33203125" style="516" customWidth="1"/>
    <col min="15622" max="15622" width="2.88671875" style="516" customWidth="1"/>
    <col min="15623" max="15623" width="7.109375" style="516" customWidth="1"/>
    <col min="15624" max="15624" width="2.88671875" style="516" customWidth="1"/>
    <col min="15625" max="15626" width="6.44140625" style="516" customWidth="1"/>
    <col min="15627" max="15627" width="9.33203125" style="516" customWidth="1"/>
    <col min="15628" max="15628" width="2.88671875" style="516" customWidth="1"/>
    <col min="15629" max="15629" width="7.109375" style="516" customWidth="1"/>
    <col min="15630" max="15630" width="2.88671875" style="516" customWidth="1"/>
    <col min="15631" max="15631" width="6.44140625" style="516" customWidth="1"/>
    <col min="15632" max="15632" width="2.88671875" style="516" customWidth="1"/>
    <col min="15633" max="15633" width="4.33203125" style="516" customWidth="1"/>
    <col min="15634" max="15634" width="2.88671875" style="516" customWidth="1"/>
    <col min="15635" max="15636" width="6.88671875" style="516" customWidth="1"/>
    <col min="15637" max="15637" width="7.88671875" style="516" bestFit="1" customWidth="1"/>
    <col min="15638" max="15639" width="8.6640625" style="516"/>
    <col min="15640" max="15640" width="9.33203125" style="516" bestFit="1" customWidth="1"/>
    <col min="15641" max="15872" width="8.6640625" style="516"/>
    <col min="15873" max="15873" width="4.33203125" style="516" customWidth="1"/>
    <col min="15874" max="15874" width="2.88671875" style="516" customWidth="1"/>
    <col min="15875" max="15875" width="40.109375" style="516" customWidth="1"/>
    <col min="15876" max="15876" width="4.33203125" style="516" customWidth="1"/>
    <col min="15877" max="15877" width="9.33203125" style="516" customWidth="1"/>
    <col min="15878" max="15878" width="2.88671875" style="516" customWidth="1"/>
    <col min="15879" max="15879" width="7.109375" style="516" customWidth="1"/>
    <col min="15880" max="15880" width="2.88671875" style="516" customWidth="1"/>
    <col min="15881" max="15882" width="6.44140625" style="516" customWidth="1"/>
    <col min="15883" max="15883" width="9.33203125" style="516" customWidth="1"/>
    <col min="15884" max="15884" width="2.88671875" style="516" customWidth="1"/>
    <col min="15885" max="15885" width="7.109375" style="516" customWidth="1"/>
    <col min="15886" max="15886" width="2.88671875" style="516" customWidth="1"/>
    <col min="15887" max="15887" width="6.44140625" style="516" customWidth="1"/>
    <col min="15888" max="15888" width="2.88671875" style="516" customWidth="1"/>
    <col min="15889" max="15889" width="4.33203125" style="516" customWidth="1"/>
    <col min="15890" max="15890" width="2.88671875" style="516" customWidth="1"/>
    <col min="15891" max="15892" width="6.88671875" style="516" customWidth="1"/>
    <col min="15893" max="15893" width="7.88671875" style="516" bestFit="1" customWidth="1"/>
    <col min="15894" max="15895" width="8.6640625" style="516"/>
    <col min="15896" max="15896" width="9.33203125" style="516" bestFit="1" customWidth="1"/>
    <col min="15897" max="16128" width="8.6640625" style="516"/>
    <col min="16129" max="16129" width="4.33203125" style="516" customWidth="1"/>
    <col min="16130" max="16130" width="2.88671875" style="516" customWidth="1"/>
    <col min="16131" max="16131" width="40.109375" style="516" customWidth="1"/>
    <col min="16132" max="16132" width="4.33203125" style="516" customWidth="1"/>
    <col min="16133" max="16133" width="9.33203125" style="516" customWidth="1"/>
    <col min="16134" max="16134" width="2.88671875" style="516" customWidth="1"/>
    <col min="16135" max="16135" width="7.109375" style="516" customWidth="1"/>
    <col min="16136" max="16136" width="2.88671875" style="516" customWidth="1"/>
    <col min="16137" max="16138" width="6.44140625" style="516" customWidth="1"/>
    <col min="16139" max="16139" width="9.33203125" style="516" customWidth="1"/>
    <col min="16140" max="16140" width="2.88671875" style="516" customWidth="1"/>
    <col min="16141" max="16141" width="7.109375" style="516" customWidth="1"/>
    <col min="16142" max="16142" width="2.88671875" style="516" customWidth="1"/>
    <col min="16143" max="16143" width="6.44140625" style="516" customWidth="1"/>
    <col min="16144" max="16144" width="2.88671875" style="516" customWidth="1"/>
    <col min="16145" max="16145" width="4.33203125" style="516" customWidth="1"/>
    <col min="16146" max="16146" width="2.88671875" style="516" customWidth="1"/>
    <col min="16147" max="16148" width="6.88671875" style="516" customWidth="1"/>
    <col min="16149" max="16149" width="7.88671875" style="516" bestFit="1" customWidth="1"/>
    <col min="16150" max="16151" width="8.6640625" style="516"/>
    <col min="16152" max="16152" width="9.33203125" style="516" bestFit="1" customWidth="1"/>
    <col min="16153" max="16384" width="8.6640625" style="516"/>
  </cols>
  <sheetData>
    <row r="1" spans="1:17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485" t="s">
        <v>1220</v>
      </c>
    </row>
    <row r="2" spans="1:17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485" t="s">
        <v>1033</v>
      </c>
    </row>
    <row r="3" spans="1:17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  <c r="L3" s="1166"/>
      <c r="M3" s="1166"/>
      <c r="N3" s="1166"/>
      <c r="O3" s="1166"/>
      <c r="P3" s="1166"/>
      <c r="Q3" s="1166"/>
    </row>
    <row r="4" spans="1:17">
      <c r="A4" s="1166" t="s">
        <v>1221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  <c r="L4" s="1166"/>
      <c r="M4" s="1166"/>
      <c r="N4" s="1166"/>
      <c r="O4" s="1166"/>
      <c r="P4" s="1166"/>
      <c r="Q4" s="1166"/>
    </row>
    <row r="5" spans="1:17">
      <c r="A5" s="1166" t="s">
        <v>1427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  <c r="N5" s="1166"/>
      <c r="O5" s="1166"/>
      <c r="P5" s="1166"/>
      <c r="Q5" s="1166"/>
    </row>
    <row r="6" spans="1:17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  <c r="L6" s="1166"/>
      <c r="M6" s="1166"/>
      <c r="N6" s="1166"/>
      <c r="O6" s="1166"/>
      <c r="P6" s="1166"/>
      <c r="Q6" s="1166"/>
    </row>
    <row r="7" spans="1:17">
      <c r="A7" s="486"/>
      <c r="B7" s="486"/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  <c r="N7" s="486"/>
      <c r="O7" s="486"/>
      <c r="P7" s="486"/>
      <c r="Q7" s="486"/>
    </row>
    <row r="8" spans="1:17">
      <c r="A8" s="156"/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</row>
    <row r="9" spans="1:17">
      <c r="A9" s="156"/>
      <c r="B9" s="156"/>
      <c r="C9" s="156"/>
      <c r="D9" s="156"/>
      <c r="E9" s="1184" t="s">
        <v>1940</v>
      </c>
      <c r="F9" s="1184"/>
      <c r="G9" s="1184"/>
      <c r="H9" s="1184"/>
      <c r="I9" s="1184"/>
      <c r="J9" s="486"/>
      <c r="K9" s="1184" t="s">
        <v>1941</v>
      </c>
      <c r="L9" s="1184"/>
      <c r="M9" s="1184"/>
      <c r="N9" s="1184"/>
      <c r="O9" s="1184"/>
      <c r="P9" s="157"/>
      <c r="Q9" s="156"/>
    </row>
    <row r="10" spans="1:17" s="524" customFormat="1" ht="20.399999999999999">
      <c r="A10" s="158" t="s">
        <v>800</v>
      </c>
      <c r="B10" s="159"/>
      <c r="C10" s="1128" t="s">
        <v>0</v>
      </c>
      <c r="D10" s="159"/>
      <c r="E10" s="158" t="s">
        <v>1222</v>
      </c>
      <c r="F10" s="159"/>
      <c r="G10" s="158" t="s">
        <v>1223</v>
      </c>
      <c r="H10" s="159"/>
      <c r="I10" s="158" t="s">
        <v>1939</v>
      </c>
      <c r="J10" s="159"/>
      <c r="K10" s="158" t="s">
        <v>1222</v>
      </c>
      <c r="L10" s="159"/>
      <c r="M10" s="158" t="s">
        <v>1224</v>
      </c>
      <c r="N10" s="159"/>
      <c r="O10" s="158" t="s">
        <v>1939</v>
      </c>
      <c r="P10" s="159"/>
      <c r="Q10" s="158" t="s">
        <v>800</v>
      </c>
    </row>
    <row r="11" spans="1:17">
      <c r="A11" s="156"/>
      <c r="B11" s="156"/>
      <c r="C11" s="156"/>
      <c r="D11" s="156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56"/>
    </row>
    <row r="12" spans="1:17">
      <c r="A12" s="160"/>
      <c r="B12" s="156"/>
      <c r="C12" s="156" t="s">
        <v>1225</v>
      </c>
      <c r="D12" s="156"/>
      <c r="E12" s="162"/>
      <c r="F12" s="162"/>
      <c r="G12" s="162"/>
      <c r="H12" s="501"/>
      <c r="I12" s="727"/>
      <c r="J12" s="156"/>
      <c r="K12" s="162"/>
      <c r="L12" s="501"/>
      <c r="M12" s="162"/>
      <c r="N12" s="501"/>
      <c r="O12" s="727"/>
      <c r="P12" s="156"/>
      <c r="Q12" s="160"/>
    </row>
    <row r="13" spans="1:17">
      <c r="A13" s="160">
        <v>1</v>
      </c>
      <c r="B13" s="156"/>
      <c r="C13" s="156" t="s">
        <v>1874</v>
      </c>
      <c r="D13" s="156"/>
      <c r="E13" s="501">
        <v>50000</v>
      </c>
      <c r="F13" s="162"/>
      <c r="G13" s="501">
        <v>2695</v>
      </c>
      <c r="H13" s="501"/>
      <c r="I13" s="727"/>
      <c r="J13" s="156"/>
      <c r="K13" s="501">
        <f t="shared" ref="K13:K15" si="0">E13</f>
        <v>50000</v>
      </c>
      <c r="L13" s="162"/>
      <c r="M13" s="501">
        <v>2695</v>
      </c>
      <c r="N13" s="501"/>
      <c r="O13" s="727"/>
      <c r="P13" s="156"/>
      <c r="Q13" s="160">
        <f t="shared" ref="Q13:Q16" si="1">+A13</f>
        <v>1</v>
      </c>
    </row>
    <row r="14" spans="1:17">
      <c r="A14" s="160">
        <f>A13+1</f>
        <v>2</v>
      </c>
      <c r="B14" s="156"/>
      <c r="C14" s="156" t="s">
        <v>1875</v>
      </c>
      <c r="D14" s="156"/>
      <c r="E14" s="501">
        <v>45000</v>
      </c>
      <c r="F14" s="501"/>
      <c r="G14" s="501">
        <v>1800</v>
      </c>
      <c r="H14" s="501"/>
      <c r="I14" s="727"/>
      <c r="J14" s="156"/>
      <c r="K14" s="501">
        <f t="shared" si="0"/>
        <v>45000</v>
      </c>
      <c r="L14" s="501"/>
      <c r="M14" s="501">
        <v>1800</v>
      </c>
      <c r="N14" s="501"/>
      <c r="O14" s="727"/>
      <c r="P14" s="156"/>
      <c r="Q14" s="160">
        <f t="shared" si="1"/>
        <v>2</v>
      </c>
    </row>
    <row r="15" spans="1:17">
      <c r="A15" s="160">
        <f>A14+1</f>
        <v>3</v>
      </c>
      <c r="B15" s="156"/>
      <c r="C15" s="156" t="s">
        <v>1876</v>
      </c>
      <c r="D15" s="156"/>
      <c r="E15" s="501">
        <v>30000</v>
      </c>
      <c r="F15" s="501"/>
      <c r="G15" s="501">
        <v>1679.9999999999998</v>
      </c>
      <c r="H15" s="501"/>
      <c r="I15" s="727"/>
      <c r="J15" s="786"/>
      <c r="K15" s="501">
        <f t="shared" si="0"/>
        <v>30000</v>
      </c>
      <c r="L15" s="501"/>
      <c r="M15" s="501">
        <v>1679.9999999999998</v>
      </c>
      <c r="N15" s="501"/>
      <c r="O15" s="727"/>
      <c r="P15" s="156"/>
      <c r="Q15" s="160">
        <f t="shared" si="1"/>
        <v>3</v>
      </c>
    </row>
    <row r="16" spans="1:17">
      <c r="A16" s="160">
        <f>+A15+1</f>
        <v>4</v>
      </c>
      <c r="B16" s="156"/>
      <c r="C16" s="156" t="s">
        <v>1226</v>
      </c>
      <c r="D16" s="156"/>
      <c r="E16" s="787">
        <f>SUM(E13:E15)</f>
        <v>125000</v>
      </c>
      <c r="F16" s="156"/>
      <c r="G16" s="787">
        <f>SUM(G13:G15)</f>
        <v>6175</v>
      </c>
      <c r="H16" s="501"/>
      <c r="I16" s="788">
        <f>+G16/E16</f>
        <v>4.9399999999999999E-2</v>
      </c>
      <c r="J16" s="156"/>
      <c r="K16" s="787">
        <f>SUM(K13:K15)</f>
        <v>125000</v>
      </c>
      <c r="L16" s="156"/>
      <c r="M16" s="787">
        <f>SUM(M13:M15)</f>
        <v>6175</v>
      </c>
      <c r="N16" s="501"/>
      <c r="O16" s="788">
        <f>+M16/K16</f>
        <v>4.9399999999999999E-2</v>
      </c>
      <c r="P16" s="156"/>
      <c r="Q16" s="160">
        <f t="shared" si="1"/>
        <v>4</v>
      </c>
    </row>
    <row r="17" spans="1:18">
      <c r="A17" s="160"/>
      <c r="B17" s="156"/>
      <c r="C17" s="160"/>
      <c r="D17" s="156"/>
      <c r="E17" s="162"/>
      <c r="F17" s="162"/>
      <c r="G17" s="162"/>
      <c r="H17" s="501"/>
      <c r="I17" s="727"/>
      <c r="J17" s="156"/>
      <c r="K17" s="162"/>
      <c r="L17" s="501"/>
      <c r="M17" s="162"/>
      <c r="N17" s="501"/>
      <c r="O17" s="727"/>
      <c r="P17" s="156"/>
      <c r="Q17" s="160"/>
    </row>
    <row r="18" spans="1:18">
      <c r="A18" s="160"/>
      <c r="B18" s="156"/>
      <c r="C18" s="156" t="s">
        <v>1227</v>
      </c>
      <c r="D18" s="507"/>
      <c r="E18" s="162"/>
      <c r="F18" s="162"/>
      <c r="G18" s="162"/>
      <c r="H18" s="156"/>
      <c r="I18" s="156"/>
      <c r="J18" s="156"/>
      <c r="K18" s="501"/>
      <c r="L18" s="501"/>
      <c r="M18" s="501"/>
      <c r="N18" s="156"/>
      <c r="O18" s="156"/>
      <c r="P18" s="156"/>
      <c r="Q18" s="160"/>
    </row>
    <row r="19" spans="1:18">
      <c r="A19" s="160">
        <f>+A16+1</f>
        <v>5</v>
      </c>
      <c r="B19" s="156"/>
      <c r="C19" s="156" t="s">
        <v>1228</v>
      </c>
      <c r="D19" s="1017"/>
      <c r="E19" s="501">
        <v>0</v>
      </c>
      <c r="F19" s="501"/>
      <c r="G19" s="501">
        <f>E19*0.02095</f>
        <v>0</v>
      </c>
      <c r="H19" s="735"/>
      <c r="I19" s="735"/>
      <c r="J19" s="156"/>
      <c r="K19" s="501">
        <v>0</v>
      </c>
      <c r="L19" s="501"/>
      <c r="M19" s="501">
        <v>0</v>
      </c>
      <c r="N19" s="735"/>
      <c r="O19" s="735"/>
      <c r="P19" s="156"/>
      <c r="Q19" s="160">
        <f>+A19</f>
        <v>5</v>
      </c>
    </row>
    <row r="20" spans="1:18">
      <c r="A20" s="160">
        <f>+A19+1</f>
        <v>6</v>
      </c>
      <c r="B20" s="156"/>
      <c r="C20" s="156" t="s">
        <v>1229</v>
      </c>
      <c r="D20" s="156"/>
      <c r="E20" s="787">
        <f>SUM(E19:E19)</f>
        <v>0</v>
      </c>
      <c r="F20" s="501"/>
      <c r="G20" s="787">
        <f>SUM(G19:G19)</f>
        <v>0</v>
      </c>
      <c r="H20" s="501"/>
      <c r="I20" s="495" t="s">
        <v>22</v>
      </c>
      <c r="J20" s="156"/>
      <c r="K20" s="787">
        <f>SUM(K19:K19)</f>
        <v>0</v>
      </c>
      <c r="L20" s="735"/>
      <c r="M20" s="787">
        <f>SUM(M19:M19)</f>
        <v>0</v>
      </c>
      <c r="N20" s="501"/>
      <c r="O20" s="495" t="s">
        <v>22</v>
      </c>
      <c r="P20" s="156"/>
      <c r="Q20" s="160">
        <f>+A20</f>
        <v>6</v>
      </c>
    </row>
    <row r="21" spans="1:18">
      <c r="A21" s="160"/>
      <c r="B21" s="156"/>
      <c r="C21" s="156"/>
      <c r="D21" s="156"/>
      <c r="E21" s="503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60"/>
    </row>
    <row r="22" spans="1:18">
      <c r="A22" s="160">
        <f>A20+1</f>
        <v>7</v>
      </c>
      <c r="B22" s="156"/>
      <c r="C22" s="156" t="s">
        <v>1230</v>
      </c>
      <c r="D22" s="485"/>
      <c r="E22" s="787">
        <f>E16+E20</f>
        <v>125000</v>
      </c>
      <c r="F22" s="156"/>
      <c r="G22" s="787">
        <f>G16+G20</f>
        <v>6175</v>
      </c>
      <c r="H22" s="156"/>
      <c r="I22" s="788">
        <f>+G22/E22</f>
        <v>4.9399999999999999E-2</v>
      </c>
      <c r="J22" s="156"/>
      <c r="K22" s="787">
        <f>K16+K20</f>
        <v>125000</v>
      </c>
      <c r="L22" s="156"/>
      <c r="M22" s="787">
        <f>M16+M20</f>
        <v>6175</v>
      </c>
      <c r="N22" s="156"/>
      <c r="O22" s="788">
        <f>+M22/K22</f>
        <v>4.9399999999999999E-2</v>
      </c>
      <c r="P22" s="156"/>
      <c r="Q22" s="160">
        <f>+A22</f>
        <v>7</v>
      </c>
    </row>
    <row r="23" spans="1:18">
      <c r="A23" s="160"/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60"/>
    </row>
    <row r="24" spans="1:18">
      <c r="A24" s="160"/>
      <c r="B24" s="156"/>
      <c r="C24" s="156" t="s">
        <v>1231</v>
      </c>
      <c r="D24" s="156"/>
      <c r="E24" s="162"/>
      <c r="F24" s="162"/>
      <c r="G24" s="162"/>
      <c r="H24" s="162"/>
      <c r="I24" s="162"/>
      <c r="J24" s="505"/>
      <c r="K24" s="162"/>
      <c r="L24" s="162"/>
      <c r="M24" s="162"/>
      <c r="N24" s="162"/>
      <c r="O24" s="162"/>
      <c r="P24" s="156"/>
      <c r="Q24" s="160"/>
    </row>
    <row r="25" spans="1:18">
      <c r="A25" s="160">
        <f>+A22+1</f>
        <v>8</v>
      </c>
      <c r="B25" s="156"/>
      <c r="C25" s="156" t="s">
        <v>1232</v>
      </c>
      <c r="D25" s="496"/>
      <c r="E25" s="501">
        <f>K25</f>
        <v>-866.45899999999995</v>
      </c>
      <c r="F25" s="162"/>
      <c r="G25" s="162"/>
      <c r="H25" s="735"/>
      <c r="I25" s="735"/>
      <c r="J25" s="496"/>
      <c r="K25" s="501">
        <v>-866.45899999999995</v>
      </c>
      <c r="L25" s="162"/>
      <c r="M25" s="162"/>
      <c r="N25" s="735"/>
      <c r="O25" s="735"/>
      <c r="P25" s="162"/>
      <c r="Q25" s="160">
        <f>+A25</f>
        <v>8</v>
      </c>
    </row>
    <row r="26" spans="1:18">
      <c r="A26" s="156"/>
      <c r="B26" s="156"/>
      <c r="C26" s="156" t="s">
        <v>1233</v>
      </c>
      <c r="D26" s="156"/>
      <c r="E26" s="162"/>
      <c r="F26" s="162"/>
      <c r="G26" s="162"/>
      <c r="H26" s="735"/>
      <c r="I26" s="735"/>
      <c r="J26" s="633"/>
      <c r="K26" s="162"/>
      <c r="L26" s="162"/>
      <c r="M26" s="162"/>
      <c r="N26" s="735"/>
      <c r="O26" s="735"/>
      <c r="P26" s="156"/>
      <c r="Q26" s="156"/>
    </row>
    <row r="27" spans="1:18">
      <c r="A27" s="160">
        <f>+A25+1</f>
        <v>9</v>
      </c>
      <c r="B27" s="156"/>
      <c r="C27" s="156" t="s">
        <v>1234</v>
      </c>
      <c r="D27" s="156"/>
      <c r="E27" s="162"/>
      <c r="F27" s="644"/>
      <c r="G27" s="501">
        <f>M27</f>
        <v>136.18600000000001</v>
      </c>
      <c r="H27" s="735"/>
      <c r="I27" s="735"/>
      <c r="J27" s="786"/>
      <c r="K27" s="162"/>
      <c r="L27" s="644"/>
      <c r="M27" s="501">
        <v>136.18600000000001</v>
      </c>
      <c r="N27" s="735"/>
      <c r="O27" s="735"/>
      <c r="P27" s="156"/>
      <c r="Q27" s="160">
        <f>+A27</f>
        <v>9</v>
      </c>
    </row>
    <row r="28" spans="1:18">
      <c r="A28" s="160">
        <f>A27+1</f>
        <v>10</v>
      </c>
      <c r="B28" s="156"/>
      <c r="C28" s="156" t="s">
        <v>1235</v>
      </c>
      <c r="D28" s="156"/>
      <c r="E28" s="1018"/>
      <c r="F28" s="786"/>
      <c r="G28" s="738">
        <v>50.5</v>
      </c>
      <c r="H28" s="735"/>
      <c r="I28" s="1018"/>
      <c r="J28" s="786"/>
      <c r="K28" s="1018"/>
      <c r="L28" s="644" t="s">
        <v>825</v>
      </c>
      <c r="M28" s="738">
        <v>78.125</v>
      </c>
      <c r="N28" s="735"/>
      <c r="O28" s="1018"/>
      <c r="P28" s="156"/>
      <c r="Q28" s="160">
        <f>+A28</f>
        <v>10</v>
      </c>
      <c r="R28" s="548" t="s">
        <v>181</v>
      </c>
    </row>
    <row r="29" spans="1:18">
      <c r="A29" s="160"/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60"/>
    </row>
    <row r="30" spans="1:18">
      <c r="A30" s="160">
        <f>A28+1</f>
        <v>11</v>
      </c>
      <c r="B30" s="156"/>
      <c r="C30" s="156" t="s">
        <v>1236</v>
      </c>
      <c r="D30" s="156"/>
      <c r="E30" s="787">
        <f>SUM(E22:E29)</f>
        <v>124133.541</v>
      </c>
      <c r="F30" s="501"/>
      <c r="G30" s="787">
        <f>SUM(G22:G29)</f>
        <v>6361.6859999999997</v>
      </c>
      <c r="H30" s="501"/>
      <c r="I30" s="788">
        <f>+G30/E30</f>
        <v>5.1248727368536112E-2</v>
      </c>
      <c r="J30" s="156"/>
      <c r="K30" s="787">
        <f>SUM(K22:K29)</f>
        <v>124133.541</v>
      </c>
      <c r="L30" s="501"/>
      <c r="M30" s="787">
        <f>SUM(M22:M29)</f>
        <v>6389.3109999999997</v>
      </c>
      <c r="N30" s="501"/>
      <c r="O30" s="788">
        <f>+M30/K30</f>
        <v>5.1471269960791662E-2</v>
      </c>
      <c r="P30" s="156"/>
      <c r="Q30" s="160">
        <f>+A30</f>
        <v>11</v>
      </c>
    </row>
    <row r="31" spans="1:18">
      <c r="A31" s="156"/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</row>
    <row r="32" spans="1:18">
      <c r="A32" s="160">
        <f>A30+1</f>
        <v>12</v>
      </c>
      <c r="B32" s="156"/>
      <c r="C32" s="156" t="s">
        <v>1237</v>
      </c>
      <c r="D32" s="156"/>
      <c r="E32" s="789">
        <v>0</v>
      </c>
      <c r="F32" s="156"/>
      <c r="G32" s="789">
        <v>0</v>
      </c>
      <c r="H32" s="156"/>
      <c r="I32" s="495" t="s">
        <v>22</v>
      </c>
      <c r="J32" s="786"/>
      <c r="K32" s="789">
        <v>0</v>
      </c>
      <c r="L32" s="156"/>
      <c r="M32" s="789">
        <v>0</v>
      </c>
      <c r="N32" s="156"/>
      <c r="O32" s="495" t="s">
        <v>22</v>
      </c>
      <c r="P32" s="156"/>
      <c r="Q32" s="160">
        <f>+A32</f>
        <v>12</v>
      </c>
      <c r="R32" s="548" t="s">
        <v>181</v>
      </c>
    </row>
    <row r="33" spans="1:17">
      <c r="A33" s="156"/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</row>
    <row r="34" spans="1:17" ht="10.8" thickBot="1">
      <c r="A34" s="160">
        <f>A32+1</f>
        <v>13</v>
      </c>
      <c r="B34" s="156"/>
      <c r="C34" s="156" t="s">
        <v>1238</v>
      </c>
      <c r="D34" s="156"/>
      <c r="E34" s="790">
        <f>E30+E32</f>
        <v>124133.541</v>
      </c>
      <c r="F34" s="156"/>
      <c r="G34" s="790">
        <f>G30+G32</f>
        <v>6361.6859999999997</v>
      </c>
      <c r="H34" s="156"/>
      <c r="I34" s="791">
        <f>G34/E34</f>
        <v>5.1248727368536112E-2</v>
      </c>
      <c r="J34" s="156"/>
      <c r="K34" s="790">
        <f>K30+K32</f>
        <v>124133.541</v>
      </c>
      <c r="L34" s="156"/>
      <c r="M34" s="790">
        <f>M30+M32</f>
        <v>6389.3109999999997</v>
      </c>
      <c r="N34" s="156"/>
      <c r="O34" s="791">
        <f>M34/K34</f>
        <v>5.1471269960791662E-2</v>
      </c>
      <c r="P34" s="156"/>
      <c r="Q34" s="160">
        <f>Q32+1</f>
        <v>13</v>
      </c>
    </row>
    <row r="35" spans="1:17" ht="10.8" thickTop="1">
      <c r="A35" s="160"/>
      <c r="B35" s="156"/>
      <c r="C35" s="156"/>
      <c r="D35" s="156"/>
      <c r="E35" s="734"/>
      <c r="F35" s="156"/>
      <c r="G35" s="734"/>
      <c r="H35" s="156"/>
      <c r="I35" s="546"/>
      <c r="J35" s="156"/>
      <c r="K35" s="734"/>
      <c r="L35" s="156"/>
      <c r="M35" s="734"/>
      <c r="N35" s="156"/>
      <c r="O35" s="546"/>
      <c r="P35" s="156"/>
      <c r="Q35" s="160"/>
    </row>
    <row r="36" spans="1:17">
      <c r="A36" s="156"/>
      <c r="B36" s="507"/>
      <c r="C36" s="156"/>
      <c r="D36" s="156"/>
      <c r="E36" s="156"/>
      <c r="F36" s="156"/>
      <c r="G36" s="156"/>
      <c r="H36" s="156"/>
      <c r="I36" s="156"/>
      <c r="J36" s="156"/>
      <c r="K36" s="779"/>
      <c r="L36" s="779"/>
      <c r="M36" s="156"/>
      <c r="N36" s="156"/>
      <c r="O36" s="156"/>
      <c r="P36" s="156"/>
      <c r="Q36" s="156"/>
    </row>
    <row r="37" spans="1:17">
      <c r="A37" s="156"/>
      <c r="B37" s="507" t="s">
        <v>1877</v>
      </c>
      <c r="C37" s="156"/>
      <c r="D37" s="156"/>
      <c r="E37" s="156"/>
      <c r="F37" s="156"/>
      <c r="G37" s="156"/>
      <c r="H37" s="156"/>
      <c r="I37" s="156"/>
      <c r="J37" s="156"/>
      <c r="K37" s="779"/>
      <c r="L37" s="779"/>
      <c r="M37" s="156"/>
      <c r="N37" s="156"/>
      <c r="O37" s="156"/>
      <c r="P37" s="156"/>
      <c r="Q37" s="156"/>
    </row>
    <row r="38" spans="1:17">
      <c r="A38" s="156"/>
      <c r="B38" s="507"/>
      <c r="C38" s="156"/>
      <c r="D38" s="156"/>
      <c r="E38" s="156"/>
      <c r="F38" s="156"/>
      <c r="G38" s="156"/>
      <c r="H38" s="156"/>
      <c r="I38" s="156"/>
      <c r="J38" s="156"/>
      <c r="K38" s="779"/>
      <c r="L38" s="779"/>
      <c r="M38" s="156"/>
      <c r="N38" s="156"/>
      <c r="O38" s="156"/>
      <c r="P38" s="156"/>
      <c r="Q38" s="156"/>
    </row>
    <row r="39" spans="1:17">
      <c r="A39" s="156"/>
      <c r="B39" s="507"/>
      <c r="C39" s="156"/>
      <c r="D39" s="156"/>
      <c r="E39" s="156"/>
      <c r="F39" s="156"/>
      <c r="G39" s="156"/>
      <c r="H39" s="156"/>
      <c r="I39" s="156"/>
      <c r="J39" s="156"/>
      <c r="K39" s="779"/>
      <c r="L39" s="779"/>
      <c r="M39" s="156"/>
      <c r="N39" s="156"/>
      <c r="O39" s="156"/>
      <c r="P39" s="156"/>
      <c r="Q39" s="156"/>
    </row>
    <row r="40" spans="1:17">
      <c r="A40" s="156"/>
      <c r="B40" s="507"/>
      <c r="C40" s="156"/>
      <c r="D40" s="156"/>
      <c r="E40" s="156"/>
      <c r="F40" s="156"/>
      <c r="G40" s="156"/>
      <c r="H40" s="156"/>
      <c r="I40" s="156"/>
      <c r="J40" s="156"/>
      <c r="K40" s="779"/>
      <c r="L40" s="779"/>
      <c r="M40" s="156"/>
      <c r="N40" s="156"/>
      <c r="O40" s="156"/>
      <c r="P40" s="156"/>
      <c r="Q40" s="156"/>
    </row>
    <row r="41" spans="1:17">
      <c r="A41" s="156"/>
      <c r="B41" s="792"/>
      <c r="C41" s="156"/>
      <c r="D41" s="156"/>
      <c r="E41" s="156"/>
      <c r="F41" s="156"/>
      <c r="G41" s="156"/>
      <c r="H41" s="156"/>
      <c r="I41" s="156"/>
      <c r="J41" s="156"/>
      <c r="K41" s="779"/>
      <c r="L41" s="156"/>
      <c r="M41" s="156"/>
      <c r="N41" s="156"/>
      <c r="O41" s="156"/>
      <c r="P41" s="156"/>
      <c r="Q41" s="156"/>
    </row>
    <row r="42" spans="1:17">
      <c r="A42" s="156"/>
      <c r="B42" s="156"/>
      <c r="C42" s="512"/>
      <c r="D42" s="156"/>
      <c r="E42" s="512" t="s">
        <v>826</v>
      </c>
      <c r="F42" s="156"/>
      <c r="G42" s="156"/>
      <c r="H42" s="156"/>
      <c r="I42" s="156"/>
      <c r="J42" s="694" t="s">
        <v>990</v>
      </c>
      <c r="K42" s="156"/>
      <c r="L42" s="156"/>
      <c r="M42" s="156"/>
      <c r="N42" s="156"/>
      <c r="O42" s="156"/>
      <c r="P42" s="156"/>
      <c r="Q42" s="156"/>
    </row>
    <row r="43" spans="1:17">
      <c r="A43" s="156"/>
      <c r="B43" s="156"/>
      <c r="C43" s="489"/>
      <c r="D43" s="156"/>
      <c r="E43" s="160" t="s">
        <v>22</v>
      </c>
      <c r="F43" s="156"/>
      <c r="G43" s="156"/>
      <c r="H43" s="156"/>
      <c r="I43" s="156"/>
      <c r="J43" s="486" t="s">
        <v>1239</v>
      </c>
      <c r="K43" s="156"/>
      <c r="L43" s="156"/>
      <c r="M43" s="156"/>
      <c r="N43" s="156"/>
      <c r="O43" s="156"/>
      <c r="P43" s="156"/>
      <c r="Q43" s="156"/>
    </row>
    <row r="44" spans="1:17">
      <c r="A44" s="156"/>
      <c r="B44" s="156"/>
      <c r="C44" s="160"/>
      <c r="D44" s="156"/>
      <c r="E44" s="160"/>
      <c r="F44" s="160"/>
      <c r="G44" s="156"/>
      <c r="H44" s="156"/>
      <c r="I44" s="156"/>
      <c r="J44" s="486" t="s">
        <v>1240</v>
      </c>
      <c r="K44" s="156"/>
      <c r="L44" s="156"/>
      <c r="M44" s="156"/>
      <c r="N44" s="156"/>
      <c r="O44" s="156"/>
      <c r="P44" s="156"/>
      <c r="Q44" s="156"/>
    </row>
    <row r="49" spans="1:7">
      <c r="A49" s="513" t="s">
        <v>1241</v>
      </c>
      <c r="B49" s="156"/>
      <c r="C49" s="156"/>
      <c r="D49" s="156"/>
      <c r="E49" s="156"/>
      <c r="F49" s="156"/>
      <c r="G49" s="156"/>
    </row>
    <row r="50" spans="1:7">
      <c r="A50" s="156"/>
      <c r="B50" s="156"/>
      <c r="C50" s="156"/>
      <c r="D50" s="156"/>
      <c r="E50" s="737"/>
      <c r="F50" s="156"/>
      <c r="G50" s="156"/>
    </row>
    <row r="51" spans="1:7">
      <c r="A51" s="513"/>
      <c r="B51" s="1197" t="s">
        <v>1922</v>
      </c>
      <c r="C51" s="1197"/>
      <c r="D51" s="1197"/>
      <c r="E51" s="1197"/>
      <c r="F51" s="1197"/>
      <c r="G51" s="1197"/>
    </row>
    <row r="52" spans="1:7">
      <c r="A52" s="487"/>
      <c r="B52" s="1198" t="s">
        <v>1242</v>
      </c>
      <c r="C52" s="1197"/>
      <c r="D52" s="1197"/>
      <c r="E52" s="1197"/>
      <c r="F52" s="1197"/>
      <c r="G52" s="1197"/>
    </row>
    <row r="53" spans="1:7">
      <c r="A53" s="793"/>
      <c r="B53" s="1198" t="s">
        <v>1243</v>
      </c>
      <c r="C53" s="1197"/>
      <c r="D53" s="1197"/>
      <c r="E53" s="1197"/>
      <c r="F53" s="1197"/>
      <c r="G53" s="1197"/>
    </row>
    <row r="54" spans="1:7">
      <c r="A54" s="793"/>
      <c r="B54" s="1198" t="s">
        <v>1244</v>
      </c>
      <c r="C54" s="1197"/>
      <c r="D54" s="1197"/>
      <c r="E54" s="1197"/>
      <c r="F54" s="1197"/>
      <c r="G54" s="1197"/>
    </row>
    <row r="55" spans="1:7">
      <c r="A55" s="793"/>
      <c r="B55" s="1198" t="s">
        <v>1245</v>
      </c>
      <c r="C55" s="1197"/>
      <c r="D55" s="1197"/>
      <c r="E55" s="1197"/>
      <c r="F55" s="1197"/>
      <c r="G55" s="1197"/>
    </row>
    <row r="56" spans="1:7">
      <c r="A56" s="793"/>
      <c r="B56" s="1198" t="s">
        <v>1246</v>
      </c>
      <c r="C56" s="1197"/>
      <c r="D56" s="1197"/>
      <c r="E56" s="1197"/>
      <c r="F56" s="1197"/>
      <c r="G56" s="1197"/>
    </row>
    <row r="57" spans="1:7">
      <c r="A57" s="793"/>
      <c r="B57" s="1198" t="s">
        <v>1247</v>
      </c>
      <c r="C57" s="1197"/>
      <c r="D57" s="1197"/>
      <c r="E57" s="1197"/>
      <c r="F57" s="1197"/>
      <c r="G57" s="1197"/>
    </row>
  </sheetData>
  <mergeCells count="13">
    <mergeCell ref="A3:Q3"/>
    <mergeCell ref="A4:Q4"/>
    <mergeCell ref="A5:Q5"/>
    <mergeCell ref="A6:Q6"/>
    <mergeCell ref="B57:G57"/>
    <mergeCell ref="B51:G51"/>
    <mergeCell ref="B52:G52"/>
    <mergeCell ref="B53:G53"/>
    <mergeCell ref="B54:G54"/>
    <mergeCell ref="B55:G55"/>
    <mergeCell ref="B56:G56"/>
    <mergeCell ref="E9:I9"/>
    <mergeCell ref="K9:O9"/>
  </mergeCells>
  <printOptions horizontalCentered="1"/>
  <pageMargins left="0.7" right="0.7" top="0.75" bottom="0.75" header="0.3" footer="0.3"/>
  <pageSetup scale="94" fitToHeight="0" orientation="landscape" r:id="rId1"/>
  <headerFooter alignWithMargins="0"/>
  <rowBreaks count="1" manualBreakCount="1">
    <brk id="46" max="16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0928E-9981-4657-9202-C1B6B3089E38}">
  <dimension ref="A1:K47"/>
  <sheetViews>
    <sheetView showGridLines="0" zoomScaleNormal="100" zoomScaleSheetLayoutView="100" workbookViewId="0"/>
  </sheetViews>
  <sheetFormatPr defaultRowHeight="10.199999999999999"/>
  <cols>
    <col min="1" max="1" width="4.33203125" style="516" customWidth="1"/>
    <col min="2" max="2" width="2.88671875" style="516" customWidth="1"/>
    <col min="3" max="3" width="50.109375" style="516" customWidth="1"/>
    <col min="4" max="4" width="2.88671875" style="516" customWidth="1"/>
    <col min="5" max="5" width="9.33203125" style="516" customWidth="1"/>
    <col min="6" max="6" width="2.88671875" style="516" customWidth="1"/>
    <col min="7" max="7" width="7.6640625" style="516" customWidth="1"/>
    <col min="8" max="8" width="2.88671875" style="516" customWidth="1"/>
    <col min="9" max="9" width="7.6640625" style="516" customWidth="1"/>
    <col min="10" max="10" width="2.88671875" style="516" customWidth="1"/>
    <col min="11" max="11" width="4.33203125" style="516" customWidth="1"/>
    <col min="12" max="12" width="2.88671875" style="516" customWidth="1"/>
    <col min="13" max="14" width="6.88671875" style="516" customWidth="1"/>
    <col min="15" max="16" width="8.6640625" style="516"/>
    <col min="17" max="18" width="8.44140625" style="516" bestFit="1" customWidth="1"/>
    <col min="19" max="21" width="8.6640625" style="516"/>
    <col min="22" max="22" width="7.109375" style="516" bestFit="1" customWidth="1"/>
    <col min="23" max="256" width="8.6640625" style="516"/>
    <col min="257" max="257" width="4.33203125" style="516" customWidth="1"/>
    <col min="258" max="258" width="2.88671875" style="516" customWidth="1"/>
    <col min="259" max="259" width="40.109375" style="516" customWidth="1"/>
    <col min="260" max="260" width="4.33203125" style="516" customWidth="1"/>
    <col min="261" max="261" width="9.33203125" style="516" customWidth="1"/>
    <col min="262" max="262" width="2.88671875" style="516" customWidth="1"/>
    <col min="263" max="263" width="7.88671875" style="516" customWidth="1"/>
    <col min="264" max="264" width="2.88671875" style="516" customWidth="1"/>
    <col min="265" max="265" width="7.109375" style="516" customWidth="1"/>
    <col min="266" max="266" width="2.88671875" style="516" customWidth="1"/>
    <col min="267" max="267" width="4.33203125" style="516" customWidth="1"/>
    <col min="268" max="268" width="2.88671875" style="516" customWidth="1"/>
    <col min="269" max="270" width="6.88671875" style="516" customWidth="1"/>
    <col min="271" max="272" width="8.6640625" style="516"/>
    <col min="273" max="274" width="8.44140625" style="516" bestFit="1" customWidth="1"/>
    <col min="275" max="277" width="8.6640625" style="516"/>
    <col min="278" max="278" width="7.109375" style="516" bestFit="1" customWidth="1"/>
    <col min="279" max="512" width="8.6640625" style="516"/>
    <col min="513" max="513" width="4.33203125" style="516" customWidth="1"/>
    <col min="514" max="514" width="2.88671875" style="516" customWidth="1"/>
    <col min="515" max="515" width="40.109375" style="516" customWidth="1"/>
    <col min="516" max="516" width="4.33203125" style="516" customWidth="1"/>
    <col min="517" max="517" width="9.33203125" style="516" customWidth="1"/>
    <col min="518" max="518" width="2.88671875" style="516" customWidth="1"/>
    <col min="519" max="519" width="7.88671875" style="516" customWidth="1"/>
    <col min="520" max="520" width="2.88671875" style="516" customWidth="1"/>
    <col min="521" max="521" width="7.109375" style="516" customWidth="1"/>
    <col min="522" max="522" width="2.88671875" style="516" customWidth="1"/>
    <col min="523" max="523" width="4.33203125" style="516" customWidth="1"/>
    <col min="524" max="524" width="2.88671875" style="516" customWidth="1"/>
    <col min="525" max="526" width="6.88671875" style="516" customWidth="1"/>
    <col min="527" max="528" width="8.6640625" style="516"/>
    <col min="529" max="530" width="8.44140625" style="516" bestFit="1" customWidth="1"/>
    <col min="531" max="533" width="8.6640625" style="516"/>
    <col min="534" max="534" width="7.109375" style="516" bestFit="1" customWidth="1"/>
    <col min="535" max="768" width="8.6640625" style="516"/>
    <col min="769" max="769" width="4.33203125" style="516" customWidth="1"/>
    <col min="770" max="770" width="2.88671875" style="516" customWidth="1"/>
    <col min="771" max="771" width="40.109375" style="516" customWidth="1"/>
    <col min="772" max="772" width="4.33203125" style="516" customWidth="1"/>
    <col min="773" max="773" width="9.33203125" style="516" customWidth="1"/>
    <col min="774" max="774" width="2.88671875" style="516" customWidth="1"/>
    <col min="775" max="775" width="7.88671875" style="516" customWidth="1"/>
    <col min="776" max="776" width="2.88671875" style="516" customWidth="1"/>
    <col min="777" max="777" width="7.109375" style="516" customWidth="1"/>
    <col min="778" max="778" width="2.88671875" style="516" customWidth="1"/>
    <col min="779" max="779" width="4.33203125" style="516" customWidth="1"/>
    <col min="780" max="780" width="2.88671875" style="516" customWidth="1"/>
    <col min="781" max="782" width="6.88671875" style="516" customWidth="1"/>
    <col min="783" max="784" width="8.6640625" style="516"/>
    <col min="785" max="786" width="8.44140625" style="516" bestFit="1" customWidth="1"/>
    <col min="787" max="789" width="8.6640625" style="516"/>
    <col min="790" max="790" width="7.109375" style="516" bestFit="1" customWidth="1"/>
    <col min="791" max="1024" width="8.6640625" style="516"/>
    <col min="1025" max="1025" width="4.33203125" style="516" customWidth="1"/>
    <col min="1026" max="1026" width="2.88671875" style="516" customWidth="1"/>
    <col min="1027" max="1027" width="40.109375" style="516" customWidth="1"/>
    <col min="1028" max="1028" width="4.33203125" style="516" customWidth="1"/>
    <col min="1029" max="1029" width="9.33203125" style="516" customWidth="1"/>
    <col min="1030" max="1030" width="2.88671875" style="516" customWidth="1"/>
    <col min="1031" max="1031" width="7.88671875" style="516" customWidth="1"/>
    <col min="1032" max="1032" width="2.88671875" style="516" customWidth="1"/>
    <col min="1033" max="1033" width="7.109375" style="516" customWidth="1"/>
    <col min="1034" max="1034" width="2.88671875" style="516" customWidth="1"/>
    <col min="1035" max="1035" width="4.33203125" style="516" customWidth="1"/>
    <col min="1036" max="1036" width="2.88671875" style="516" customWidth="1"/>
    <col min="1037" max="1038" width="6.88671875" style="516" customWidth="1"/>
    <col min="1039" max="1040" width="8.6640625" style="516"/>
    <col min="1041" max="1042" width="8.44140625" style="516" bestFit="1" customWidth="1"/>
    <col min="1043" max="1045" width="8.6640625" style="516"/>
    <col min="1046" max="1046" width="7.109375" style="516" bestFit="1" customWidth="1"/>
    <col min="1047" max="1280" width="8.6640625" style="516"/>
    <col min="1281" max="1281" width="4.33203125" style="516" customWidth="1"/>
    <col min="1282" max="1282" width="2.88671875" style="516" customWidth="1"/>
    <col min="1283" max="1283" width="40.109375" style="516" customWidth="1"/>
    <col min="1284" max="1284" width="4.33203125" style="516" customWidth="1"/>
    <col min="1285" max="1285" width="9.33203125" style="516" customWidth="1"/>
    <col min="1286" max="1286" width="2.88671875" style="516" customWidth="1"/>
    <col min="1287" max="1287" width="7.88671875" style="516" customWidth="1"/>
    <col min="1288" max="1288" width="2.88671875" style="516" customWidth="1"/>
    <col min="1289" max="1289" width="7.109375" style="516" customWidth="1"/>
    <col min="1290" max="1290" width="2.88671875" style="516" customWidth="1"/>
    <col min="1291" max="1291" width="4.33203125" style="516" customWidth="1"/>
    <col min="1292" max="1292" width="2.88671875" style="516" customWidth="1"/>
    <col min="1293" max="1294" width="6.88671875" style="516" customWidth="1"/>
    <col min="1295" max="1296" width="8.6640625" style="516"/>
    <col min="1297" max="1298" width="8.44140625" style="516" bestFit="1" customWidth="1"/>
    <col min="1299" max="1301" width="8.6640625" style="516"/>
    <col min="1302" max="1302" width="7.109375" style="516" bestFit="1" customWidth="1"/>
    <col min="1303" max="1536" width="8.6640625" style="516"/>
    <col min="1537" max="1537" width="4.33203125" style="516" customWidth="1"/>
    <col min="1538" max="1538" width="2.88671875" style="516" customWidth="1"/>
    <col min="1539" max="1539" width="40.109375" style="516" customWidth="1"/>
    <col min="1540" max="1540" width="4.33203125" style="516" customWidth="1"/>
    <col min="1541" max="1541" width="9.33203125" style="516" customWidth="1"/>
    <col min="1542" max="1542" width="2.88671875" style="516" customWidth="1"/>
    <col min="1543" max="1543" width="7.88671875" style="516" customWidth="1"/>
    <col min="1544" max="1544" width="2.88671875" style="516" customWidth="1"/>
    <col min="1545" max="1545" width="7.109375" style="516" customWidth="1"/>
    <col min="1546" max="1546" width="2.88671875" style="516" customWidth="1"/>
    <col min="1547" max="1547" width="4.33203125" style="516" customWidth="1"/>
    <col min="1548" max="1548" width="2.88671875" style="516" customWidth="1"/>
    <col min="1549" max="1550" width="6.88671875" style="516" customWidth="1"/>
    <col min="1551" max="1552" width="8.6640625" style="516"/>
    <col min="1553" max="1554" width="8.44140625" style="516" bestFit="1" customWidth="1"/>
    <col min="1555" max="1557" width="8.6640625" style="516"/>
    <col min="1558" max="1558" width="7.109375" style="516" bestFit="1" customWidth="1"/>
    <col min="1559" max="1792" width="8.6640625" style="516"/>
    <col min="1793" max="1793" width="4.33203125" style="516" customWidth="1"/>
    <col min="1794" max="1794" width="2.88671875" style="516" customWidth="1"/>
    <col min="1795" max="1795" width="40.109375" style="516" customWidth="1"/>
    <col min="1796" max="1796" width="4.33203125" style="516" customWidth="1"/>
    <col min="1797" max="1797" width="9.33203125" style="516" customWidth="1"/>
    <col min="1798" max="1798" width="2.88671875" style="516" customWidth="1"/>
    <col min="1799" max="1799" width="7.88671875" style="516" customWidth="1"/>
    <col min="1800" max="1800" width="2.88671875" style="516" customWidth="1"/>
    <col min="1801" max="1801" width="7.109375" style="516" customWidth="1"/>
    <col min="1802" max="1802" width="2.88671875" style="516" customWidth="1"/>
    <col min="1803" max="1803" width="4.33203125" style="516" customWidth="1"/>
    <col min="1804" max="1804" width="2.88671875" style="516" customWidth="1"/>
    <col min="1805" max="1806" width="6.88671875" style="516" customWidth="1"/>
    <col min="1807" max="1808" width="8.6640625" style="516"/>
    <col min="1809" max="1810" width="8.44140625" style="516" bestFit="1" customWidth="1"/>
    <col min="1811" max="1813" width="8.6640625" style="516"/>
    <col min="1814" max="1814" width="7.109375" style="516" bestFit="1" customWidth="1"/>
    <col min="1815" max="2048" width="8.6640625" style="516"/>
    <col min="2049" max="2049" width="4.33203125" style="516" customWidth="1"/>
    <col min="2050" max="2050" width="2.88671875" style="516" customWidth="1"/>
    <col min="2051" max="2051" width="40.109375" style="516" customWidth="1"/>
    <col min="2052" max="2052" width="4.33203125" style="516" customWidth="1"/>
    <col min="2053" max="2053" width="9.33203125" style="516" customWidth="1"/>
    <col min="2054" max="2054" width="2.88671875" style="516" customWidth="1"/>
    <col min="2055" max="2055" width="7.88671875" style="516" customWidth="1"/>
    <col min="2056" max="2056" width="2.88671875" style="516" customWidth="1"/>
    <col min="2057" max="2057" width="7.109375" style="516" customWidth="1"/>
    <col min="2058" max="2058" width="2.88671875" style="516" customWidth="1"/>
    <col min="2059" max="2059" width="4.33203125" style="516" customWidth="1"/>
    <col min="2060" max="2060" width="2.88671875" style="516" customWidth="1"/>
    <col min="2061" max="2062" width="6.88671875" style="516" customWidth="1"/>
    <col min="2063" max="2064" width="8.6640625" style="516"/>
    <col min="2065" max="2066" width="8.44140625" style="516" bestFit="1" customWidth="1"/>
    <col min="2067" max="2069" width="8.6640625" style="516"/>
    <col min="2070" max="2070" width="7.109375" style="516" bestFit="1" customWidth="1"/>
    <col min="2071" max="2304" width="8.6640625" style="516"/>
    <col min="2305" max="2305" width="4.33203125" style="516" customWidth="1"/>
    <col min="2306" max="2306" width="2.88671875" style="516" customWidth="1"/>
    <col min="2307" max="2307" width="40.109375" style="516" customWidth="1"/>
    <col min="2308" max="2308" width="4.33203125" style="516" customWidth="1"/>
    <col min="2309" max="2309" width="9.33203125" style="516" customWidth="1"/>
    <col min="2310" max="2310" width="2.88671875" style="516" customWidth="1"/>
    <col min="2311" max="2311" width="7.88671875" style="516" customWidth="1"/>
    <col min="2312" max="2312" width="2.88671875" style="516" customWidth="1"/>
    <col min="2313" max="2313" width="7.109375" style="516" customWidth="1"/>
    <col min="2314" max="2314" width="2.88671875" style="516" customWidth="1"/>
    <col min="2315" max="2315" width="4.33203125" style="516" customWidth="1"/>
    <col min="2316" max="2316" width="2.88671875" style="516" customWidth="1"/>
    <col min="2317" max="2318" width="6.88671875" style="516" customWidth="1"/>
    <col min="2319" max="2320" width="8.6640625" style="516"/>
    <col min="2321" max="2322" width="8.44140625" style="516" bestFit="1" customWidth="1"/>
    <col min="2323" max="2325" width="8.6640625" style="516"/>
    <col min="2326" max="2326" width="7.109375" style="516" bestFit="1" customWidth="1"/>
    <col min="2327" max="2560" width="8.6640625" style="516"/>
    <col min="2561" max="2561" width="4.33203125" style="516" customWidth="1"/>
    <col min="2562" max="2562" width="2.88671875" style="516" customWidth="1"/>
    <col min="2563" max="2563" width="40.109375" style="516" customWidth="1"/>
    <col min="2564" max="2564" width="4.33203125" style="516" customWidth="1"/>
    <col min="2565" max="2565" width="9.33203125" style="516" customWidth="1"/>
    <col min="2566" max="2566" width="2.88671875" style="516" customWidth="1"/>
    <col min="2567" max="2567" width="7.88671875" style="516" customWidth="1"/>
    <col min="2568" max="2568" width="2.88671875" style="516" customWidth="1"/>
    <col min="2569" max="2569" width="7.109375" style="516" customWidth="1"/>
    <col min="2570" max="2570" width="2.88671875" style="516" customWidth="1"/>
    <col min="2571" max="2571" width="4.33203125" style="516" customWidth="1"/>
    <col min="2572" max="2572" width="2.88671875" style="516" customWidth="1"/>
    <col min="2573" max="2574" width="6.88671875" style="516" customWidth="1"/>
    <col min="2575" max="2576" width="8.6640625" style="516"/>
    <col min="2577" max="2578" width="8.44140625" style="516" bestFit="1" customWidth="1"/>
    <col min="2579" max="2581" width="8.6640625" style="516"/>
    <col min="2582" max="2582" width="7.109375" style="516" bestFit="1" customWidth="1"/>
    <col min="2583" max="2816" width="8.6640625" style="516"/>
    <col min="2817" max="2817" width="4.33203125" style="516" customWidth="1"/>
    <col min="2818" max="2818" width="2.88671875" style="516" customWidth="1"/>
    <col min="2819" max="2819" width="40.109375" style="516" customWidth="1"/>
    <col min="2820" max="2820" width="4.33203125" style="516" customWidth="1"/>
    <col min="2821" max="2821" width="9.33203125" style="516" customWidth="1"/>
    <col min="2822" max="2822" width="2.88671875" style="516" customWidth="1"/>
    <col min="2823" max="2823" width="7.88671875" style="516" customWidth="1"/>
    <col min="2824" max="2824" width="2.88671875" style="516" customWidth="1"/>
    <col min="2825" max="2825" width="7.109375" style="516" customWidth="1"/>
    <col min="2826" max="2826" width="2.88671875" style="516" customWidth="1"/>
    <col min="2827" max="2827" width="4.33203125" style="516" customWidth="1"/>
    <col min="2828" max="2828" width="2.88671875" style="516" customWidth="1"/>
    <col min="2829" max="2830" width="6.88671875" style="516" customWidth="1"/>
    <col min="2831" max="2832" width="8.6640625" style="516"/>
    <col min="2833" max="2834" width="8.44140625" style="516" bestFit="1" customWidth="1"/>
    <col min="2835" max="2837" width="8.6640625" style="516"/>
    <col min="2838" max="2838" width="7.109375" style="516" bestFit="1" customWidth="1"/>
    <col min="2839" max="3072" width="8.6640625" style="516"/>
    <col min="3073" max="3073" width="4.33203125" style="516" customWidth="1"/>
    <col min="3074" max="3074" width="2.88671875" style="516" customWidth="1"/>
    <col min="3075" max="3075" width="40.109375" style="516" customWidth="1"/>
    <col min="3076" max="3076" width="4.33203125" style="516" customWidth="1"/>
    <col min="3077" max="3077" width="9.33203125" style="516" customWidth="1"/>
    <col min="3078" max="3078" width="2.88671875" style="516" customWidth="1"/>
    <col min="3079" max="3079" width="7.88671875" style="516" customWidth="1"/>
    <col min="3080" max="3080" width="2.88671875" style="516" customWidth="1"/>
    <col min="3081" max="3081" width="7.109375" style="516" customWidth="1"/>
    <col min="3082" max="3082" width="2.88671875" style="516" customWidth="1"/>
    <col min="3083" max="3083" width="4.33203125" style="516" customWidth="1"/>
    <col min="3084" max="3084" width="2.88671875" style="516" customWidth="1"/>
    <col min="3085" max="3086" width="6.88671875" style="516" customWidth="1"/>
    <col min="3087" max="3088" width="8.6640625" style="516"/>
    <col min="3089" max="3090" width="8.44140625" style="516" bestFit="1" customWidth="1"/>
    <col min="3091" max="3093" width="8.6640625" style="516"/>
    <col min="3094" max="3094" width="7.109375" style="516" bestFit="1" customWidth="1"/>
    <col min="3095" max="3328" width="8.6640625" style="516"/>
    <col min="3329" max="3329" width="4.33203125" style="516" customWidth="1"/>
    <col min="3330" max="3330" width="2.88671875" style="516" customWidth="1"/>
    <col min="3331" max="3331" width="40.109375" style="516" customWidth="1"/>
    <col min="3332" max="3332" width="4.33203125" style="516" customWidth="1"/>
    <col min="3333" max="3333" width="9.33203125" style="516" customWidth="1"/>
    <col min="3334" max="3334" width="2.88671875" style="516" customWidth="1"/>
    <col min="3335" max="3335" width="7.88671875" style="516" customWidth="1"/>
    <col min="3336" max="3336" width="2.88671875" style="516" customWidth="1"/>
    <col min="3337" max="3337" width="7.109375" style="516" customWidth="1"/>
    <col min="3338" max="3338" width="2.88671875" style="516" customWidth="1"/>
    <col min="3339" max="3339" width="4.33203125" style="516" customWidth="1"/>
    <col min="3340" max="3340" width="2.88671875" style="516" customWidth="1"/>
    <col min="3341" max="3342" width="6.88671875" style="516" customWidth="1"/>
    <col min="3343" max="3344" width="8.6640625" style="516"/>
    <col min="3345" max="3346" width="8.44140625" style="516" bestFit="1" customWidth="1"/>
    <col min="3347" max="3349" width="8.6640625" style="516"/>
    <col min="3350" max="3350" width="7.109375" style="516" bestFit="1" customWidth="1"/>
    <col min="3351" max="3584" width="8.6640625" style="516"/>
    <col min="3585" max="3585" width="4.33203125" style="516" customWidth="1"/>
    <col min="3586" max="3586" width="2.88671875" style="516" customWidth="1"/>
    <col min="3587" max="3587" width="40.109375" style="516" customWidth="1"/>
    <col min="3588" max="3588" width="4.33203125" style="516" customWidth="1"/>
    <col min="3589" max="3589" width="9.33203125" style="516" customWidth="1"/>
    <col min="3590" max="3590" width="2.88671875" style="516" customWidth="1"/>
    <col min="3591" max="3591" width="7.88671875" style="516" customWidth="1"/>
    <col min="3592" max="3592" width="2.88671875" style="516" customWidth="1"/>
    <col min="3593" max="3593" width="7.109375" style="516" customWidth="1"/>
    <col min="3594" max="3594" width="2.88671875" style="516" customWidth="1"/>
    <col min="3595" max="3595" width="4.33203125" style="516" customWidth="1"/>
    <col min="3596" max="3596" width="2.88671875" style="516" customWidth="1"/>
    <col min="3597" max="3598" width="6.88671875" style="516" customWidth="1"/>
    <col min="3599" max="3600" width="8.6640625" style="516"/>
    <col min="3601" max="3602" width="8.44140625" style="516" bestFit="1" customWidth="1"/>
    <col min="3603" max="3605" width="8.6640625" style="516"/>
    <col min="3606" max="3606" width="7.109375" style="516" bestFit="1" customWidth="1"/>
    <col min="3607" max="3840" width="8.6640625" style="516"/>
    <col min="3841" max="3841" width="4.33203125" style="516" customWidth="1"/>
    <col min="3842" max="3842" width="2.88671875" style="516" customWidth="1"/>
    <col min="3843" max="3843" width="40.109375" style="516" customWidth="1"/>
    <col min="3844" max="3844" width="4.33203125" style="516" customWidth="1"/>
    <col min="3845" max="3845" width="9.33203125" style="516" customWidth="1"/>
    <col min="3846" max="3846" width="2.88671875" style="516" customWidth="1"/>
    <col min="3847" max="3847" width="7.88671875" style="516" customWidth="1"/>
    <col min="3848" max="3848" width="2.88671875" style="516" customWidth="1"/>
    <col min="3849" max="3849" width="7.109375" style="516" customWidth="1"/>
    <col min="3850" max="3850" width="2.88671875" style="516" customWidth="1"/>
    <col min="3851" max="3851" width="4.33203125" style="516" customWidth="1"/>
    <col min="3852" max="3852" width="2.88671875" style="516" customWidth="1"/>
    <col min="3853" max="3854" width="6.88671875" style="516" customWidth="1"/>
    <col min="3855" max="3856" width="8.6640625" style="516"/>
    <col min="3857" max="3858" width="8.44140625" style="516" bestFit="1" customWidth="1"/>
    <col min="3859" max="3861" width="8.6640625" style="516"/>
    <col min="3862" max="3862" width="7.109375" style="516" bestFit="1" customWidth="1"/>
    <col min="3863" max="4096" width="8.6640625" style="516"/>
    <col min="4097" max="4097" width="4.33203125" style="516" customWidth="1"/>
    <col min="4098" max="4098" width="2.88671875" style="516" customWidth="1"/>
    <col min="4099" max="4099" width="40.109375" style="516" customWidth="1"/>
    <col min="4100" max="4100" width="4.33203125" style="516" customWidth="1"/>
    <col min="4101" max="4101" width="9.33203125" style="516" customWidth="1"/>
    <col min="4102" max="4102" width="2.88671875" style="516" customWidth="1"/>
    <col min="4103" max="4103" width="7.88671875" style="516" customWidth="1"/>
    <col min="4104" max="4104" width="2.88671875" style="516" customWidth="1"/>
    <col min="4105" max="4105" width="7.109375" style="516" customWidth="1"/>
    <col min="4106" max="4106" width="2.88671875" style="516" customWidth="1"/>
    <col min="4107" max="4107" width="4.33203125" style="516" customWidth="1"/>
    <col min="4108" max="4108" width="2.88671875" style="516" customWidth="1"/>
    <col min="4109" max="4110" width="6.88671875" style="516" customWidth="1"/>
    <col min="4111" max="4112" width="8.6640625" style="516"/>
    <col min="4113" max="4114" width="8.44140625" style="516" bestFit="1" customWidth="1"/>
    <col min="4115" max="4117" width="8.6640625" style="516"/>
    <col min="4118" max="4118" width="7.109375" style="516" bestFit="1" customWidth="1"/>
    <col min="4119" max="4352" width="8.6640625" style="516"/>
    <col min="4353" max="4353" width="4.33203125" style="516" customWidth="1"/>
    <col min="4354" max="4354" width="2.88671875" style="516" customWidth="1"/>
    <col min="4355" max="4355" width="40.109375" style="516" customWidth="1"/>
    <col min="4356" max="4356" width="4.33203125" style="516" customWidth="1"/>
    <col min="4357" max="4357" width="9.33203125" style="516" customWidth="1"/>
    <col min="4358" max="4358" width="2.88671875" style="516" customWidth="1"/>
    <col min="4359" max="4359" width="7.88671875" style="516" customWidth="1"/>
    <col min="4360" max="4360" width="2.88671875" style="516" customWidth="1"/>
    <col min="4361" max="4361" width="7.109375" style="516" customWidth="1"/>
    <col min="4362" max="4362" width="2.88671875" style="516" customWidth="1"/>
    <col min="4363" max="4363" width="4.33203125" style="516" customWidth="1"/>
    <col min="4364" max="4364" width="2.88671875" style="516" customWidth="1"/>
    <col min="4365" max="4366" width="6.88671875" style="516" customWidth="1"/>
    <col min="4367" max="4368" width="8.6640625" style="516"/>
    <col min="4369" max="4370" width="8.44140625" style="516" bestFit="1" customWidth="1"/>
    <col min="4371" max="4373" width="8.6640625" style="516"/>
    <col min="4374" max="4374" width="7.109375" style="516" bestFit="1" customWidth="1"/>
    <col min="4375" max="4608" width="8.6640625" style="516"/>
    <col min="4609" max="4609" width="4.33203125" style="516" customWidth="1"/>
    <col min="4610" max="4610" width="2.88671875" style="516" customWidth="1"/>
    <col min="4611" max="4611" width="40.109375" style="516" customWidth="1"/>
    <col min="4612" max="4612" width="4.33203125" style="516" customWidth="1"/>
    <col min="4613" max="4613" width="9.33203125" style="516" customWidth="1"/>
    <col min="4614" max="4614" width="2.88671875" style="516" customWidth="1"/>
    <col min="4615" max="4615" width="7.88671875" style="516" customWidth="1"/>
    <col min="4616" max="4616" width="2.88671875" style="516" customWidth="1"/>
    <col min="4617" max="4617" width="7.109375" style="516" customWidth="1"/>
    <col min="4618" max="4618" width="2.88671875" style="516" customWidth="1"/>
    <col min="4619" max="4619" width="4.33203125" style="516" customWidth="1"/>
    <col min="4620" max="4620" width="2.88671875" style="516" customWidth="1"/>
    <col min="4621" max="4622" width="6.88671875" style="516" customWidth="1"/>
    <col min="4623" max="4624" width="8.6640625" style="516"/>
    <col min="4625" max="4626" width="8.44140625" style="516" bestFit="1" customWidth="1"/>
    <col min="4627" max="4629" width="8.6640625" style="516"/>
    <col min="4630" max="4630" width="7.109375" style="516" bestFit="1" customWidth="1"/>
    <col min="4631" max="4864" width="8.6640625" style="516"/>
    <col min="4865" max="4865" width="4.33203125" style="516" customWidth="1"/>
    <col min="4866" max="4866" width="2.88671875" style="516" customWidth="1"/>
    <col min="4867" max="4867" width="40.109375" style="516" customWidth="1"/>
    <col min="4868" max="4868" width="4.33203125" style="516" customWidth="1"/>
    <col min="4869" max="4869" width="9.33203125" style="516" customWidth="1"/>
    <col min="4870" max="4870" width="2.88671875" style="516" customWidth="1"/>
    <col min="4871" max="4871" width="7.88671875" style="516" customWidth="1"/>
    <col min="4872" max="4872" width="2.88671875" style="516" customWidth="1"/>
    <col min="4873" max="4873" width="7.109375" style="516" customWidth="1"/>
    <col min="4874" max="4874" width="2.88671875" style="516" customWidth="1"/>
    <col min="4875" max="4875" width="4.33203125" style="516" customWidth="1"/>
    <col min="4876" max="4876" width="2.88671875" style="516" customWidth="1"/>
    <col min="4877" max="4878" width="6.88671875" style="516" customWidth="1"/>
    <col min="4879" max="4880" width="8.6640625" style="516"/>
    <col min="4881" max="4882" width="8.44140625" style="516" bestFit="1" customWidth="1"/>
    <col min="4883" max="4885" width="8.6640625" style="516"/>
    <col min="4886" max="4886" width="7.109375" style="516" bestFit="1" customWidth="1"/>
    <col min="4887" max="5120" width="8.6640625" style="516"/>
    <col min="5121" max="5121" width="4.33203125" style="516" customWidth="1"/>
    <col min="5122" max="5122" width="2.88671875" style="516" customWidth="1"/>
    <col min="5123" max="5123" width="40.109375" style="516" customWidth="1"/>
    <col min="5124" max="5124" width="4.33203125" style="516" customWidth="1"/>
    <col min="5125" max="5125" width="9.33203125" style="516" customWidth="1"/>
    <col min="5126" max="5126" width="2.88671875" style="516" customWidth="1"/>
    <col min="5127" max="5127" width="7.88671875" style="516" customWidth="1"/>
    <col min="5128" max="5128" width="2.88671875" style="516" customWidth="1"/>
    <col min="5129" max="5129" width="7.109375" style="516" customWidth="1"/>
    <col min="5130" max="5130" width="2.88671875" style="516" customWidth="1"/>
    <col min="5131" max="5131" width="4.33203125" style="516" customWidth="1"/>
    <col min="5132" max="5132" width="2.88671875" style="516" customWidth="1"/>
    <col min="5133" max="5134" width="6.88671875" style="516" customWidth="1"/>
    <col min="5135" max="5136" width="8.6640625" style="516"/>
    <col min="5137" max="5138" width="8.44140625" style="516" bestFit="1" customWidth="1"/>
    <col min="5139" max="5141" width="8.6640625" style="516"/>
    <col min="5142" max="5142" width="7.109375" style="516" bestFit="1" customWidth="1"/>
    <col min="5143" max="5376" width="8.6640625" style="516"/>
    <col min="5377" max="5377" width="4.33203125" style="516" customWidth="1"/>
    <col min="5378" max="5378" width="2.88671875" style="516" customWidth="1"/>
    <col min="5379" max="5379" width="40.109375" style="516" customWidth="1"/>
    <col min="5380" max="5380" width="4.33203125" style="516" customWidth="1"/>
    <col min="5381" max="5381" width="9.33203125" style="516" customWidth="1"/>
    <col min="5382" max="5382" width="2.88671875" style="516" customWidth="1"/>
    <col min="5383" max="5383" width="7.88671875" style="516" customWidth="1"/>
    <col min="5384" max="5384" width="2.88671875" style="516" customWidth="1"/>
    <col min="5385" max="5385" width="7.109375" style="516" customWidth="1"/>
    <col min="5386" max="5386" width="2.88671875" style="516" customWidth="1"/>
    <col min="5387" max="5387" width="4.33203125" style="516" customWidth="1"/>
    <col min="5388" max="5388" width="2.88671875" style="516" customWidth="1"/>
    <col min="5389" max="5390" width="6.88671875" style="516" customWidth="1"/>
    <col min="5391" max="5392" width="8.6640625" style="516"/>
    <col min="5393" max="5394" width="8.44140625" style="516" bestFit="1" customWidth="1"/>
    <col min="5395" max="5397" width="8.6640625" style="516"/>
    <col min="5398" max="5398" width="7.109375" style="516" bestFit="1" customWidth="1"/>
    <col min="5399" max="5632" width="8.6640625" style="516"/>
    <col min="5633" max="5633" width="4.33203125" style="516" customWidth="1"/>
    <col min="5634" max="5634" width="2.88671875" style="516" customWidth="1"/>
    <col min="5635" max="5635" width="40.109375" style="516" customWidth="1"/>
    <col min="5636" max="5636" width="4.33203125" style="516" customWidth="1"/>
    <col min="5637" max="5637" width="9.33203125" style="516" customWidth="1"/>
    <col min="5638" max="5638" width="2.88671875" style="516" customWidth="1"/>
    <col min="5639" max="5639" width="7.88671875" style="516" customWidth="1"/>
    <col min="5640" max="5640" width="2.88671875" style="516" customWidth="1"/>
    <col min="5641" max="5641" width="7.109375" style="516" customWidth="1"/>
    <col min="5642" max="5642" width="2.88671875" style="516" customWidth="1"/>
    <col min="5643" max="5643" width="4.33203125" style="516" customWidth="1"/>
    <col min="5644" max="5644" width="2.88671875" style="516" customWidth="1"/>
    <col min="5645" max="5646" width="6.88671875" style="516" customWidth="1"/>
    <col min="5647" max="5648" width="8.6640625" style="516"/>
    <col min="5649" max="5650" width="8.44140625" style="516" bestFit="1" customWidth="1"/>
    <col min="5651" max="5653" width="8.6640625" style="516"/>
    <col min="5654" max="5654" width="7.109375" style="516" bestFit="1" customWidth="1"/>
    <col min="5655" max="5888" width="8.6640625" style="516"/>
    <col min="5889" max="5889" width="4.33203125" style="516" customWidth="1"/>
    <col min="5890" max="5890" width="2.88671875" style="516" customWidth="1"/>
    <col min="5891" max="5891" width="40.109375" style="516" customWidth="1"/>
    <col min="5892" max="5892" width="4.33203125" style="516" customWidth="1"/>
    <col min="5893" max="5893" width="9.33203125" style="516" customWidth="1"/>
    <col min="5894" max="5894" width="2.88671875" style="516" customWidth="1"/>
    <col min="5895" max="5895" width="7.88671875" style="516" customWidth="1"/>
    <col min="5896" max="5896" width="2.88671875" style="516" customWidth="1"/>
    <col min="5897" max="5897" width="7.109375" style="516" customWidth="1"/>
    <col min="5898" max="5898" width="2.88671875" style="516" customWidth="1"/>
    <col min="5899" max="5899" width="4.33203125" style="516" customWidth="1"/>
    <col min="5900" max="5900" width="2.88671875" style="516" customWidth="1"/>
    <col min="5901" max="5902" width="6.88671875" style="516" customWidth="1"/>
    <col min="5903" max="5904" width="8.6640625" style="516"/>
    <col min="5905" max="5906" width="8.44140625" style="516" bestFit="1" customWidth="1"/>
    <col min="5907" max="5909" width="8.6640625" style="516"/>
    <col min="5910" max="5910" width="7.109375" style="516" bestFit="1" customWidth="1"/>
    <col min="5911" max="6144" width="8.6640625" style="516"/>
    <col min="6145" max="6145" width="4.33203125" style="516" customWidth="1"/>
    <col min="6146" max="6146" width="2.88671875" style="516" customWidth="1"/>
    <col min="6147" max="6147" width="40.109375" style="516" customWidth="1"/>
    <col min="6148" max="6148" width="4.33203125" style="516" customWidth="1"/>
    <col min="6149" max="6149" width="9.33203125" style="516" customWidth="1"/>
    <col min="6150" max="6150" width="2.88671875" style="516" customWidth="1"/>
    <col min="6151" max="6151" width="7.88671875" style="516" customWidth="1"/>
    <col min="6152" max="6152" width="2.88671875" style="516" customWidth="1"/>
    <col min="6153" max="6153" width="7.109375" style="516" customWidth="1"/>
    <col min="6154" max="6154" width="2.88671875" style="516" customWidth="1"/>
    <col min="6155" max="6155" width="4.33203125" style="516" customWidth="1"/>
    <col min="6156" max="6156" width="2.88671875" style="516" customWidth="1"/>
    <col min="6157" max="6158" width="6.88671875" style="516" customWidth="1"/>
    <col min="6159" max="6160" width="8.6640625" style="516"/>
    <col min="6161" max="6162" width="8.44140625" style="516" bestFit="1" customWidth="1"/>
    <col min="6163" max="6165" width="8.6640625" style="516"/>
    <col min="6166" max="6166" width="7.109375" style="516" bestFit="1" customWidth="1"/>
    <col min="6167" max="6400" width="8.6640625" style="516"/>
    <col min="6401" max="6401" width="4.33203125" style="516" customWidth="1"/>
    <col min="6402" max="6402" width="2.88671875" style="516" customWidth="1"/>
    <col min="6403" max="6403" width="40.109375" style="516" customWidth="1"/>
    <col min="6404" max="6404" width="4.33203125" style="516" customWidth="1"/>
    <col min="6405" max="6405" width="9.33203125" style="516" customWidth="1"/>
    <col min="6406" max="6406" width="2.88671875" style="516" customWidth="1"/>
    <col min="6407" max="6407" width="7.88671875" style="516" customWidth="1"/>
    <col min="6408" max="6408" width="2.88671875" style="516" customWidth="1"/>
    <col min="6409" max="6409" width="7.109375" style="516" customWidth="1"/>
    <col min="6410" max="6410" width="2.88671875" style="516" customWidth="1"/>
    <col min="6411" max="6411" width="4.33203125" style="516" customWidth="1"/>
    <col min="6412" max="6412" width="2.88671875" style="516" customWidth="1"/>
    <col min="6413" max="6414" width="6.88671875" style="516" customWidth="1"/>
    <col min="6415" max="6416" width="8.6640625" style="516"/>
    <col min="6417" max="6418" width="8.44140625" style="516" bestFit="1" customWidth="1"/>
    <col min="6419" max="6421" width="8.6640625" style="516"/>
    <col min="6422" max="6422" width="7.109375" style="516" bestFit="1" customWidth="1"/>
    <col min="6423" max="6656" width="8.6640625" style="516"/>
    <col min="6657" max="6657" width="4.33203125" style="516" customWidth="1"/>
    <col min="6658" max="6658" width="2.88671875" style="516" customWidth="1"/>
    <col min="6659" max="6659" width="40.109375" style="516" customWidth="1"/>
    <col min="6660" max="6660" width="4.33203125" style="516" customWidth="1"/>
    <col min="6661" max="6661" width="9.33203125" style="516" customWidth="1"/>
    <col min="6662" max="6662" width="2.88671875" style="516" customWidth="1"/>
    <col min="6663" max="6663" width="7.88671875" style="516" customWidth="1"/>
    <col min="6664" max="6664" width="2.88671875" style="516" customWidth="1"/>
    <col min="6665" max="6665" width="7.109375" style="516" customWidth="1"/>
    <col min="6666" max="6666" width="2.88671875" style="516" customWidth="1"/>
    <col min="6667" max="6667" width="4.33203125" style="516" customWidth="1"/>
    <col min="6668" max="6668" width="2.88671875" style="516" customWidth="1"/>
    <col min="6669" max="6670" width="6.88671875" style="516" customWidth="1"/>
    <col min="6671" max="6672" width="8.6640625" style="516"/>
    <col min="6673" max="6674" width="8.44140625" style="516" bestFit="1" customWidth="1"/>
    <col min="6675" max="6677" width="8.6640625" style="516"/>
    <col min="6678" max="6678" width="7.109375" style="516" bestFit="1" customWidth="1"/>
    <col min="6679" max="6912" width="8.6640625" style="516"/>
    <col min="6913" max="6913" width="4.33203125" style="516" customWidth="1"/>
    <col min="6914" max="6914" width="2.88671875" style="516" customWidth="1"/>
    <col min="6915" max="6915" width="40.109375" style="516" customWidth="1"/>
    <col min="6916" max="6916" width="4.33203125" style="516" customWidth="1"/>
    <col min="6917" max="6917" width="9.33203125" style="516" customWidth="1"/>
    <col min="6918" max="6918" width="2.88671875" style="516" customWidth="1"/>
    <col min="6919" max="6919" width="7.88671875" style="516" customWidth="1"/>
    <col min="6920" max="6920" width="2.88671875" style="516" customWidth="1"/>
    <col min="6921" max="6921" width="7.109375" style="516" customWidth="1"/>
    <col min="6922" max="6922" width="2.88671875" style="516" customWidth="1"/>
    <col min="6923" max="6923" width="4.33203125" style="516" customWidth="1"/>
    <col min="6924" max="6924" width="2.88671875" style="516" customWidth="1"/>
    <col min="6925" max="6926" width="6.88671875" style="516" customWidth="1"/>
    <col min="6927" max="6928" width="8.6640625" style="516"/>
    <col min="6929" max="6930" width="8.44140625" style="516" bestFit="1" customWidth="1"/>
    <col min="6931" max="6933" width="8.6640625" style="516"/>
    <col min="6934" max="6934" width="7.109375" style="516" bestFit="1" customWidth="1"/>
    <col min="6935" max="7168" width="8.6640625" style="516"/>
    <col min="7169" max="7169" width="4.33203125" style="516" customWidth="1"/>
    <col min="7170" max="7170" width="2.88671875" style="516" customWidth="1"/>
    <col min="7171" max="7171" width="40.109375" style="516" customWidth="1"/>
    <col min="7172" max="7172" width="4.33203125" style="516" customWidth="1"/>
    <col min="7173" max="7173" width="9.33203125" style="516" customWidth="1"/>
    <col min="7174" max="7174" width="2.88671875" style="516" customWidth="1"/>
    <col min="7175" max="7175" width="7.88671875" style="516" customWidth="1"/>
    <col min="7176" max="7176" width="2.88671875" style="516" customWidth="1"/>
    <col min="7177" max="7177" width="7.109375" style="516" customWidth="1"/>
    <col min="7178" max="7178" width="2.88671875" style="516" customWidth="1"/>
    <col min="7179" max="7179" width="4.33203125" style="516" customWidth="1"/>
    <col min="7180" max="7180" width="2.88671875" style="516" customWidth="1"/>
    <col min="7181" max="7182" width="6.88671875" style="516" customWidth="1"/>
    <col min="7183" max="7184" width="8.6640625" style="516"/>
    <col min="7185" max="7186" width="8.44140625" style="516" bestFit="1" customWidth="1"/>
    <col min="7187" max="7189" width="8.6640625" style="516"/>
    <col min="7190" max="7190" width="7.109375" style="516" bestFit="1" customWidth="1"/>
    <col min="7191" max="7424" width="8.6640625" style="516"/>
    <col min="7425" max="7425" width="4.33203125" style="516" customWidth="1"/>
    <col min="7426" max="7426" width="2.88671875" style="516" customWidth="1"/>
    <col min="7427" max="7427" width="40.109375" style="516" customWidth="1"/>
    <col min="7428" max="7428" width="4.33203125" style="516" customWidth="1"/>
    <col min="7429" max="7429" width="9.33203125" style="516" customWidth="1"/>
    <col min="7430" max="7430" width="2.88671875" style="516" customWidth="1"/>
    <col min="7431" max="7431" width="7.88671875" style="516" customWidth="1"/>
    <col min="7432" max="7432" width="2.88671875" style="516" customWidth="1"/>
    <col min="7433" max="7433" width="7.109375" style="516" customWidth="1"/>
    <col min="7434" max="7434" width="2.88671875" style="516" customWidth="1"/>
    <col min="7435" max="7435" width="4.33203125" style="516" customWidth="1"/>
    <col min="7436" max="7436" width="2.88671875" style="516" customWidth="1"/>
    <col min="7437" max="7438" width="6.88671875" style="516" customWidth="1"/>
    <col min="7439" max="7440" width="8.6640625" style="516"/>
    <col min="7441" max="7442" width="8.44140625" style="516" bestFit="1" customWidth="1"/>
    <col min="7443" max="7445" width="8.6640625" style="516"/>
    <col min="7446" max="7446" width="7.109375" style="516" bestFit="1" customWidth="1"/>
    <col min="7447" max="7680" width="8.6640625" style="516"/>
    <col min="7681" max="7681" width="4.33203125" style="516" customWidth="1"/>
    <col min="7682" max="7682" width="2.88671875" style="516" customWidth="1"/>
    <col min="7683" max="7683" width="40.109375" style="516" customWidth="1"/>
    <col min="7684" max="7684" width="4.33203125" style="516" customWidth="1"/>
    <col min="7685" max="7685" width="9.33203125" style="516" customWidth="1"/>
    <col min="7686" max="7686" width="2.88671875" style="516" customWidth="1"/>
    <col min="7687" max="7687" width="7.88671875" style="516" customWidth="1"/>
    <col min="7688" max="7688" width="2.88671875" style="516" customWidth="1"/>
    <col min="7689" max="7689" width="7.109375" style="516" customWidth="1"/>
    <col min="7690" max="7690" width="2.88671875" style="516" customWidth="1"/>
    <col min="7691" max="7691" width="4.33203125" style="516" customWidth="1"/>
    <col min="7692" max="7692" width="2.88671875" style="516" customWidth="1"/>
    <col min="7693" max="7694" width="6.88671875" style="516" customWidth="1"/>
    <col min="7695" max="7696" width="8.6640625" style="516"/>
    <col min="7697" max="7698" width="8.44140625" style="516" bestFit="1" customWidth="1"/>
    <col min="7699" max="7701" width="8.6640625" style="516"/>
    <col min="7702" max="7702" width="7.109375" style="516" bestFit="1" customWidth="1"/>
    <col min="7703" max="7936" width="8.6640625" style="516"/>
    <col min="7937" max="7937" width="4.33203125" style="516" customWidth="1"/>
    <col min="7938" max="7938" width="2.88671875" style="516" customWidth="1"/>
    <col min="7939" max="7939" width="40.109375" style="516" customWidth="1"/>
    <col min="7940" max="7940" width="4.33203125" style="516" customWidth="1"/>
    <col min="7941" max="7941" width="9.33203125" style="516" customWidth="1"/>
    <col min="7942" max="7942" width="2.88671875" style="516" customWidth="1"/>
    <col min="7943" max="7943" width="7.88671875" style="516" customWidth="1"/>
    <col min="7944" max="7944" width="2.88671875" style="516" customWidth="1"/>
    <col min="7945" max="7945" width="7.109375" style="516" customWidth="1"/>
    <col min="7946" max="7946" width="2.88671875" style="516" customWidth="1"/>
    <col min="7947" max="7947" width="4.33203125" style="516" customWidth="1"/>
    <col min="7948" max="7948" width="2.88671875" style="516" customWidth="1"/>
    <col min="7949" max="7950" width="6.88671875" style="516" customWidth="1"/>
    <col min="7951" max="7952" width="8.6640625" style="516"/>
    <col min="7953" max="7954" width="8.44140625" style="516" bestFit="1" customWidth="1"/>
    <col min="7955" max="7957" width="8.6640625" style="516"/>
    <col min="7958" max="7958" width="7.109375" style="516" bestFit="1" customWidth="1"/>
    <col min="7959" max="8192" width="8.6640625" style="516"/>
    <col min="8193" max="8193" width="4.33203125" style="516" customWidth="1"/>
    <col min="8194" max="8194" width="2.88671875" style="516" customWidth="1"/>
    <col min="8195" max="8195" width="40.109375" style="516" customWidth="1"/>
    <col min="8196" max="8196" width="4.33203125" style="516" customWidth="1"/>
    <col min="8197" max="8197" width="9.33203125" style="516" customWidth="1"/>
    <col min="8198" max="8198" width="2.88671875" style="516" customWidth="1"/>
    <col min="8199" max="8199" width="7.88671875" style="516" customWidth="1"/>
    <col min="8200" max="8200" width="2.88671875" style="516" customWidth="1"/>
    <col min="8201" max="8201" width="7.109375" style="516" customWidth="1"/>
    <col min="8202" max="8202" width="2.88671875" style="516" customWidth="1"/>
    <col min="8203" max="8203" width="4.33203125" style="516" customWidth="1"/>
    <col min="8204" max="8204" width="2.88671875" style="516" customWidth="1"/>
    <col min="8205" max="8206" width="6.88671875" style="516" customWidth="1"/>
    <col min="8207" max="8208" width="8.6640625" style="516"/>
    <col min="8209" max="8210" width="8.44140625" style="516" bestFit="1" customWidth="1"/>
    <col min="8211" max="8213" width="8.6640625" style="516"/>
    <col min="8214" max="8214" width="7.109375" style="516" bestFit="1" customWidth="1"/>
    <col min="8215" max="8448" width="8.6640625" style="516"/>
    <col min="8449" max="8449" width="4.33203125" style="516" customWidth="1"/>
    <col min="8450" max="8450" width="2.88671875" style="516" customWidth="1"/>
    <col min="8451" max="8451" width="40.109375" style="516" customWidth="1"/>
    <col min="8452" max="8452" width="4.33203125" style="516" customWidth="1"/>
    <col min="8453" max="8453" width="9.33203125" style="516" customWidth="1"/>
    <col min="8454" max="8454" width="2.88671875" style="516" customWidth="1"/>
    <col min="8455" max="8455" width="7.88671875" style="516" customWidth="1"/>
    <col min="8456" max="8456" width="2.88671875" style="516" customWidth="1"/>
    <col min="8457" max="8457" width="7.109375" style="516" customWidth="1"/>
    <col min="8458" max="8458" width="2.88671875" style="516" customWidth="1"/>
    <col min="8459" max="8459" width="4.33203125" style="516" customWidth="1"/>
    <col min="8460" max="8460" width="2.88671875" style="516" customWidth="1"/>
    <col min="8461" max="8462" width="6.88671875" style="516" customWidth="1"/>
    <col min="8463" max="8464" width="8.6640625" style="516"/>
    <col min="8465" max="8466" width="8.44140625" style="516" bestFit="1" customWidth="1"/>
    <col min="8467" max="8469" width="8.6640625" style="516"/>
    <col min="8470" max="8470" width="7.109375" style="516" bestFit="1" customWidth="1"/>
    <col min="8471" max="8704" width="8.6640625" style="516"/>
    <col min="8705" max="8705" width="4.33203125" style="516" customWidth="1"/>
    <col min="8706" max="8706" width="2.88671875" style="516" customWidth="1"/>
    <col min="8707" max="8707" width="40.109375" style="516" customWidth="1"/>
    <col min="8708" max="8708" width="4.33203125" style="516" customWidth="1"/>
    <col min="8709" max="8709" width="9.33203125" style="516" customWidth="1"/>
    <col min="8710" max="8710" width="2.88671875" style="516" customWidth="1"/>
    <col min="8711" max="8711" width="7.88671875" style="516" customWidth="1"/>
    <col min="8712" max="8712" width="2.88671875" style="516" customWidth="1"/>
    <col min="8713" max="8713" width="7.109375" style="516" customWidth="1"/>
    <col min="8714" max="8714" width="2.88671875" style="516" customWidth="1"/>
    <col min="8715" max="8715" width="4.33203125" style="516" customWidth="1"/>
    <col min="8716" max="8716" width="2.88671875" style="516" customWidth="1"/>
    <col min="8717" max="8718" width="6.88671875" style="516" customWidth="1"/>
    <col min="8719" max="8720" width="8.6640625" style="516"/>
    <col min="8721" max="8722" width="8.44140625" style="516" bestFit="1" customWidth="1"/>
    <col min="8723" max="8725" width="8.6640625" style="516"/>
    <col min="8726" max="8726" width="7.109375" style="516" bestFit="1" customWidth="1"/>
    <col min="8727" max="8960" width="8.6640625" style="516"/>
    <col min="8961" max="8961" width="4.33203125" style="516" customWidth="1"/>
    <col min="8962" max="8962" width="2.88671875" style="516" customWidth="1"/>
    <col min="8963" max="8963" width="40.109375" style="516" customWidth="1"/>
    <col min="8964" max="8964" width="4.33203125" style="516" customWidth="1"/>
    <col min="8965" max="8965" width="9.33203125" style="516" customWidth="1"/>
    <col min="8966" max="8966" width="2.88671875" style="516" customWidth="1"/>
    <col min="8967" max="8967" width="7.88671875" style="516" customWidth="1"/>
    <col min="8968" max="8968" width="2.88671875" style="516" customWidth="1"/>
    <col min="8969" max="8969" width="7.109375" style="516" customWidth="1"/>
    <col min="8970" max="8970" width="2.88671875" style="516" customWidth="1"/>
    <col min="8971" max="8971" width="4.33203125" style="516" customWidth="1"/>
    <col min="8972" max="8972" width="2.88671875" style="516" customWidth="1"/>
    <col min="8973" max="8974" width="6.88671875" style="516" customWidth="1"/>
    <col min="8975" max="8976" width="8.6640625" style="516"/>
    <col min="8977" max="8978" width="8.44140625" style="516" bestFit="1" customWidth="1"/>
    <col min="8979" max="8981" width="8.6640625" style="516"/>
    <col min="8982" max="8982" width="7.109375" style="516" bestFit="1" customWidth="1"/>
    <col min="8983" max="9216" width="8.6640625" style="516"/>
    <col min="9217" max="9217" width="4.33203125" style="516" customWidth="1"/>
    <col min="9218" max="9218" width="2.88671875" style="516" customWidth="1"/>
    <col min="9219" max="9219" width="40.109375" style="516" customWidth="1"/>
    <col min="9220" max="9220" width="4.33203125" style="516" customWidth="1"/>
    <col min="9221" max="9221" width="9.33203125" style="516" customWidth="1"/>
    <col min="9222" max="9222" width="2.88671875" style="516" customWidth="1"/>
    <col min="9223" max="9223" width="7.88671875" style="516" customWidth="1"/>
    <col min="9224" max="9224" width="2.88671875" style="516" customWidth="1"/>
    <col min="9225" max="9225" width="7.109375" style="516" customWidth="1"/>
    <col min="9226" max="9226" width="2.88671875" style="516" customWidth="1"/>
    <col min="9227" max="9227" width="4.33203125" style="516" customWidth="1"/>
    <col min="9228" max="9228" width="2.88671875" style="516" customWidth="1"/>
    <col min="9229" max="9230" width="6.88671875" style="516" customWidth="1"/>
    <col min="9231" max="9232" width="8.6640625" style="516"/>
    <col min="9233" max="9234" width="8.44140625" style="516" bestFit="1" customWidth="1"/>
    <col min="9235" max="9237" width="8.6640625" style="516"/>
    <col min="9238" max="9238" width="7.109375" style="516" bestFit="1" customWidth="1"/>
    <col min="9239" max="9472" width="8.6640625" style="516"/>
    <col min="9473" max="9473" width="4.33203125" style="516" customWidth="1"/>
    <col min="9474" max="9474" width="2.88671875" style="516" customWidth="1"/>
    <col min="9475" max="9475" width="40.109375" style="516" customWidth="1"/>
    <col min="9476" max="9476" width="4.33203125" style="516" customWidth="1"/>
    <col min="9477" max="9477" width="9.33203125" style="516" customWidth="1"/>
    <col min="9478" max="9478" width="2.88671875" style="516" customWidth="1"/>
    <col min="9479" max="9479" width="7.88671875" style="516" customWidth="1"/>
    <col min="9480" max="9480" width="2.88671875" style="516" customWidth="1"/>
    <col min="9481" max="9481" width="7.109375" style="516" customWidth="1"/>
    <col min="9482" max="9482" width="2.88671875" style="516" customWidth="1"/>
    <col min="9483" max="9483" width="4.33203125" style="516" customWidth="1"/>
    <col min="9484" max="9484" width="2.88671875" style="516" customWidth="1"/>
    <col min="9485" max="9486" width="6.88671875" style="516" customWidth="1"/>
    <col min="9487" max="9488" width="8.6640625" style="516"/>
    <col min="9489" max="9490" width="8.44140625" style="516" bestFit="1" customWidth="1"/>
    <col min="9491" max="9493" width="8.6640625" style="516"/>
    <col min="9494" max="9494" width="7.109375" style="516" bestFit="1" customWidth="1"/>
    <col min="9495" max="9728" width="8.6640625" style="516"/>
    <col min="9729" max="9729" width="4.33203125" style="516" customWidth="1"/>
    <col min="9730" max="9730" width="2.88671875" style="516" customWidth="1"/>
    <col min="9731" max="9731" width="40.109375" style="516" customWidth="1"/>
    <col min="9732" max="9732" width="4.33203125" style="516" customWidth="1"/>
    <col min="9733" max="9733" width="9.33203125" style="516" customWidth="1"/>
    <col min="9734" max="9734" width="2.88671875" style="516" customWidth="1"/>
    <col min="9735" max="9735" width="7.88671875" style="516" customWidth="1"/>
    <col min="9736" max="9736" width="2.88671875" style="516" customWidth="1"/>
    <col min="9737" max="9737" width="7.109375" style="516" customWidth="1"/>
    <col min="9738" max="9738" width="2.88671875" style="516" customWidth="1"/>
    <col min="9739" max="9739" width="4.33203125" style="516" customWidth="1"/>
    <col min="9740" max="9740" width="2.88671875" style="516" customWidth="1"/>
    <col min="9741" max="9742" width="6.88671875" style="516" customWidth="1"/>
    <col min="9743" max="9744" width="8.6640625" style="516"/>
    <col min="9745" max="9746" width="8.44140625" style="516" bestFit="1" customWidth="1"/>
    <col min="9747" max="9749" width="8.6640625" style="516"/>
    <col min="9750" max="9750" width="7.109375" style="516" bestFit="1" customWidth="1"/>
    <col min="9751" max="9984" width="8.6640625" style="516"/>
    <col min="9985" max="9985" width="4.33203125" style="516" customWidth="1"/>
    <col min="9986" max="9986" width="2.88671875" style="516" customWidth="1"/>
    <col min="9987" max="9987" width="40.109375" style="516" customWidth="1"/>
    <col min="9988" max="9988" width="4.33203125" style="516" customWidth="1"/>
    <col min="9989" max="9989" width="9.33203125" style="516" customWidth="1"/>
    <col min="9990" max="9990" width="2.88671875" style="516" customWidth="1"/>
    <col min="9991" max="9991" width="7.88671875" style="516" customWidth="1"/>
    <col min="9992" max="9992" width="2.88671875" style="516" customWidth="1"/>
    <col min="9993" max="9993" width="7.109375" style="516" customWidth="1"/>
    <col min="9994" max="9994" width="2.88671875" style="516" customWidth="1"/>
    <col min="9995" max="9995" width="4.33203125" style="516" customWidth="1"/>
    <col min="9996" max="9996" width="2.88671875" style="516" customWidth="1"/>
    <col min="9997" max="9998" width="6.88671875" style="516" customWidth="1"/>
    <col min="9999" max="10000" width="8.6640625" style="516"/>
    <col min="10001" max="10002" width="8.44140625" style="516" bestFit="1" customWidth="1"/>
    <col min="10003" max="10005" width="8.6640625" style="516"/>
    <col min="10006" max="10006" width="7.109375" style="516" bestFit="1" customWidth="1"/>
    <col min="10007" max="10240" width="8.6640625" style="516"/>
    <col min="10241" max="10241" width="4.33203125" style="516" customWidth="1"/>
    <col min="10242" max="10242" width="2.88671875" style="516" customWidth="1"/>
    <col min="10243" max="10243" width="40.109375" style="516" customWidth="1"/>
    <col min="10244" max="10244" width="4.33203125" style="516" customWidth="1"/>
    <col min="10245" max="10245" width="9.33203125" style="516" customWidth="1"/>
    <col min="10246" max="10246" width="2.88671875" style="516" customWidth="1"/>
    <col min="10247" max="10247" width="7.88671875" style="516" customWidth="1"/>
    <col min="10248" max="10248" width="2.88671875" style="516" customWidth="1"/>
    <col min="10249" max="10249" width="7.109375" style="516" customWidth="1"/>
    <col min="10250" max="10250" width="2.88671875" style="516" customWidth="1"/>
    <col min="10251" max="10251" width="4.33203125" style="516" customWidth="1"/>
    <col min="10252" max="10252" width="2.88671875" style="516" customWidth="1"/>
    <col min="10253" max="10254" width="6.88671875" style="516" customWidth="1"/>
    <col min="10255" max="10256" width="8.6640625" style="516"/>
    <col min="10257" max="10258" width="8.44140625" style="516" bestFit="1" customWidth="1"/>
    <col min="10259" max="10261" width="8.6640625" style="516"/>
    <col min="10262" max="10262" width="7.109375" style="516" bestFit="1" customWidth="1"/>
    <col min="10263" max="10496" width="8.6640625" style="516"/>
    <col min="10497" max="10497" width="4.33203125" style="516" customWidth="1"/>
    <col min="10498" max="10498" width="2.88671875" style="516" customWidth="1"/>
    <col min="10499" max="10499" width="40.109375" style="516" customWidth="1"/>
    <col min="10500" max="10500" width="4.33203125" style="516" customWidth="1"/>
    <col min="10501" max="10501" width="9.33203125" style="516" customWidth="1"/>
    <col min="10502" max="10502" width="2.88671875" style="516" customWidth="1"/>
    <col min="10503" max="10503" width="7.88671875" style="516" customWidth="1"/>
    <col min="10504" max="10504" width="2.88671875" style="516" customWidth="1"/>
    <col min="10505" max="10505" width="7.109375" style="516" customWidth="1"/>
    <col min="10506" max="10506" width="2.88671875" style="516" customWidth="1"/>
    <col min="10507" max="10507" width="4.33203125" style="516" customWidth="1"/>
    <col min="10508" max="10508" width="2.88671875" style="516" customWidth="1"/>
    <col min="10509" max="10510" width="6.88671875" style="516" customWidth="1"/>
    <col min="10511" max="10512" width="8.6640625" style="516"/>
    <col min="10513" max="10514" width="8.44140625" style="516" bestFit="1" customWidth="1"/>
    <col min="10515" max="10517" width="8.6640625" style="516"/>
    <col min="10518" max="10518" width="7.109375" style="516" bestFit="1" customWidth="1"/>
    <col min="10519" max="10752" width="8.6640625" style="516"/>
    <col min="10753" max="10753" width="4.33203125" style="516" customWidth="1"/>
    <col min="10754" max="10754" width="2.88671875" style="516" customWidth="1"/>
    <col min="10755" max="10755" width="40.109375" style="516" customWidth="1"/>
    <col min="10756" max="10756" width="4.33203125" style="516" customWidth="1"/>
    <col min="10757" max="10757" width="9.33203125" style="516" customWidth="1"/>
    <col min="10758" max="10758" width="2.88671875" style="516" customWidth="1"/>
    <col min="10759" max="10759" width="7.88671875" style="516" customWidth="1"/>
    <col min="10760" max="10760" width="2.88671875" style="516" customWidth="1"/>
    <col min="10761" max="10761" width="7.109375" style="516" customWidth="1"/>
    <col min="10762" max="10762" width="2.88671875" style="516" customWidth="1"/>
    <col min="10763" max="10763" width="4.33203125" style="516" customWidth="1"/>
    <col min="10764" max="10764" width="2.88671875" style="516" customWidth="1"/>
    <col min="10765" max="10766" width="6.88671875" style="516" customWidth="1"/>
    <col min="10767" max="10768" width="8.6640625" style="516"/>
    <col min="10769" max="10770" width="8.44140625" style="516" bestFit="1" customWidth="1"/>
    <col min="10771" max="10773" width="8.6640625" style="516"/>
    <col min="10774" max="10774" width="7.109375" style="516" bestFit="1" customWidth="1"/>
    <col min="10775" max="11008" width="8.6640625" style="516"/>
    <col min="11009" max="11009" width="4.33203125" style="516" customWidth="1"/>
    <col min="11010" max="11010" width="2.88671875" style="516" customWidth="1"/>
    <col min="11011" max="11011" width="40.109375" style="516" customWidth="1"/>
    <col min="11012" max="11012" width="4.33203125" style="516" customWidth="1"/>
    <col min="11013" max="11013" width="9.33203125" style="516" customWidth="1"/>
    <col min="11014" max="11014" width="2.88671875" style="516" customWidth="1"/>
    <col min="11015" max="11015" width="7.88671875" style="516" customWidth="1"/>
    <col min="11016" max="11016" width="2.88671875" style="516" customWidth="1"/>
    <col min="11017" max="11017" width="7.109375" style="516" customWidth="1"/>
    <col min="11018" max="11018" width="2.88671875" style="516" customWidth="1"/>
    <col min="11019" max="11019" width="4.33203125" style="516" customWidth="1"/>
    <col min="11020" max="11020" width="2.88671875" style="516" customWidth="1"/>
    <col min="11021" max="11022" width="6.88671875" style="516" customWidth="1"/>
    <col min="11023" max="11024" width="8.6640625" style="516"/>
    <col min="11025" max="11026" width="8.44140625" style="516" bestFit="1" customWidth="1"/>
    <col min="11027" max="11029" width="8.6640625" style="516"/>
    <col min="11030" max="11030" width="7.109375" style="516" bestFit="1" customWidth="1"/>
    <col min="11031" max="11264" width="8.6640625" style="516"/>
    <col min="11265" max="11265" width="4.33203125" style="516" customWidth="1"/>
    <col min="11266" max="11266" width="2.88671875" style="516" customWidth="1"/>
    <col min="11267" max="11267" width="40.109375" style="516" customWidth="1"/>
    <col min="11268" max="11268" width="4.33203125" style="516" customWidth="1"/>
    <col min="11269" max="11269" width="9.33203125" style="516" customWidth="1"/>
    <col min="11270" max="11270" width="2.88671875" style="516" customWidth="1"/>
    <col min="11271" max="11271" width="7.88671875" style="516" customWidth="1"/>
    <col min="11272" max="11272" width="2.88671875" style="516" customWidth="1"/>
    <col min="11273" max="11273" width="7.109375" style="516" customWidth="1"/>
    <col min="11274" max="11274" width="2.88671875" style="516" customWidth="1"/>
    <col min="11275" max="11275" width="4.33203125" style="516" customWidth="1"/>
    <col min="11276" max="11276" width="2.88671875" style="516" customWidth="1"/>
    <col min="11277" max="11278" width="6.88671875" style="516" customWidth="1"/>
    <col min="11279" max="11280" width="8.6640625" style="516"/>
    <col min="11281" max="11282" width="8.44140625" style="516" bestFit="1" customWidth="1"/>
    <col min="11283" max="11285" width="8.6640625" style="516"/>
    <col min="11286" max="11286" width="7.109375" style="516" bestFit="1" customWidth="1"/>
    <col min="11287" max="11520" width="8.6640625" style="516"/>
    <col min="11521" max="11521" width="4.33203125" style="516" customWidth="1"/>
    <col min="11522" max="11522" width="2.88671875" style="516" customWidth="1"/>
    <col min="11523" max="11523" width="40.109375" style="516" customWidth="1"/>
    <col min="11524" max="11524" width="4.33203125" style="516" customWidth="1"/>
    <col min="11525" max="11525" width="9.33203125" style="516" customWidth="1"/>
    <col min="11526" max="11526" width="2.88671875" style="516" customWidth="1"/>
    <col min="11527" max="11527" width="7.88671875" style="516" customWidth="1"/>
    <col min="11528" max="11528" width="2.88671875" style="516" customWidth="1"/>
    <col min="11529" max="11529" width="7.109375" style="516" customWidth="1"/>
    <col min="11530" max="11530" width="2.88671875" style="516" customWidth="1"/>
    <col min="11531" max="11531" width="4.33203125" style="516" customWidth="1"/>
    <col min="11532" max="11532" width="2.88671875" style="516" customWidth="1"/>
    <col min="11533" max="11534" width="6.88671875" style="516" customWidth="1"/>
    <col min="11535" max="11536" width="8.6640625" style="516"/>
    <col min="11537" max="11538" width="8.44140625" style="516" bestFit="1" customWidth="1"/>
    <col min="11539" max="11541" width="8.6640625" style="516"/>
    <col min="11542" max="11542" width="7.109375" style="516" bestFit="1" customWidth="1"/>
    <col min="11543" max="11776" width="8.6640625" style="516"/>
    <col min="11777" max="11777" width="4.33203125" style="516" customWidth="1"/>
    <col min="11778" max="11778" width="2.88671875" style="516" customWidth="1"/>
    <col min="11779" max="11779" width="40.109375" style="516" customWidth="1"/>
    <col min="11780" max="11780" width="4.33203125" style="516" customWidth="1"/>
    <col min="11781" max="11781" width="9.33203125" style="516" customWidth="1"/>
    <col min="11782" max="11782" width="2.88671875" style="516" customWidth="1"/>
    <col min="11783" max="11783" width="7.88671875" style="516" customWidth="1"/>
    <col min="11784" max="11784" width="2.88671875" style="516" customWidth="1"/>
    <col min="11785" max="11785" width="7.109375" style="516" customWidth="1"/>
    <col min="11786" max="11786" width="2.88671875" style="516" customWidth="1"/>
    <col min="11787" max="11787" width="4.33203125" style="516" customWidth="1"/>
    <col min="11788" max="11788" width="2.88671875" style="516" customWidth="1"/>
    <col min="11789" max="11790" width="6.88671875" style="516" customWidth="1"/>
    <col min="11791" max="11792" width="8.6640625" style="516"/>
    <col min="11793" max="11794" width="8.44140625" style="516" bestFit="1" customWidth="1"/>
    <col min="11795" max="11797" width="8.6640625" style="516"/>
    <col min="11798" max="11798" width="7.109375" style="516" bestFit="1" customWidth="1"/>
    <col min="11799" max="12032" width="8.6640625" style="516"/>
    <col min="12033" max="12033" width="4.33203125" style="516" customWidth="1"/>
    <col min="12034" max="12034" width="2.88671875" style="516" customWidth="1"/>
    <col min="12035" max="12035" width="40.109375" style="516" customWidth="1"/>
    <col min="12036" max="12036" width="4.33203125" style="516" customWidth="1"/>
    <col min="12037" max="12037" width="9.33203125" style="516" customWidth="1"/>
    <col min="12038" max="12038" width="2.88671875" style="516" customWidth="1"/>
    <col min="12039" max="12039" width="7.88671875" style="516" customWidth="1"/>
    <col min="12040" max="12040" width="2.88671875" style="516" customWidth="1"/>
    <col min="12041" max="12041" width="7.109375" style="516" customWidth="1"/>
    <col min="12042" max="12042" width="2.88671875" style="516" customWidth="1"/>
    <col min="12043" max="12043" width="4.33203125" style="516" customWidth="1"/>
    <col min="12044" max="12044" width="2.88671875" style="516" customWidth="1"/>
    <col min="12045" max="12046" width="6.88671875" style="516" customWidth="1"/>
    <col min="12047" max="12048" width="8.6640625" style="516"/>
    <col min="12049" max="12050" width="8.44140625" style="516" bestFit="1" customWidth="1"/>
    <col min="12051" max="12053" width="8.6640625" style="516"/>
    <col min="12054" max="12054" width="7.109375" style="516" bestFit="1" customWidth="1"/>
    <col min="12055" max="12288" width="8.6640625" style="516"/>
    <col min="12289" max="12289" width="4.33203125" style="516" customWidth="1"/>
    <col min="12290" max="12290" width="2.88671875" style="516" customWidth="1"/>
    <col min="12291" max="12291" width="40.109375" style="516" customWidth="1"/>
    <col min="12292" max="12292" width="4.33203125" style="516" customWidth="1"/>
    <col min="12293" max="12293" width="9.33203125" style="516" customWidth="1"/>
    <col min="12294" max="12294" width="2.88671875" style="516" customWidth="1"/>
    <col min="12295" max="12295" width="7.88671875" style="516" customWidth="1"/>
    <col min="12296" max="12296" width="2.88671875" style="516" customWidth="1"/>
    <col min="12297" max="12297" width="7.109375" style="516" customWidth="1"/>
    <col min="12298" max="12298" width="2.88671875" style="516" customWidth="1"/>
    <col min="12299" max="12299" width="4.33203125" style="516" customWidth="1"/>
    <col min="12300" max="12300" width="2.88671875" style="516" customWidth="1"/>
    <col min="12301" max="12302" width="6.88671875" style="516" customWidth="1"/>
    <col min="12303" max="12304" width="8.6640625" style="516"/>
    <col min="12305" max="12306" width="8.44140625" style="516" bestFit="1" customWidth="1"/>
    <col min="12307" max="12309" width="8.6640625" style="516"/>
    <col min="12310" max="12310" width="7.109375" style="516" bestFit="1" customWidth="1"/>
    <col min="12311" max="12544" width="8.6640625" style="516"/>
    <col min="12545" max="12545" width="4.33203125" style="516" customWidth="1"/>
    <col min="12546" max="12546" width="2.88671875" style="516" customWidth="1"/>
    <col min="12547" max="12547" width="40.109375" style="516" customWidth="1"/>
    <col min="12548" max="12548" width="4.33203125" style="516" customWidth="1"/>
    <col min="12549" max="12549" width="9.33203125" style="516" customWidth="1"/>
    <col min="12550" max="12550" width="2.88671875" style="516" customWidth="1"/>
    <col min="12551" max="12551" width="7.88671875" style="516" customWidth="1"/>
    <col min="12552" max="12552" width="2.88671875" style="516" customWidth="1"/>
    <col min="12553" max="12553" width="7.109375" style="516" customWidth="1"/>
    <col min="12554" max="12554" width="2.88671875" style="516" customWidth="1"/>
    <col min="12555" max="12555" width="4.33203125" style="516" customWidth="1"/>
    <col min="12556" max="12556" width="2.88671875" style="516" customWidth="1"/>
    <col min="12557" max="12558" width="6.88671875" style="516" customWidth="1"/>
    <col min="12559" max="12560" width="8.6640625" style="516"/>
    <col min="12561" max="12562" width="8.44140625" style="516" bestFit="1" customWidth="1"/>
    <col min="12563" max="12565" width="8.6640625" style="516"/>
    <col min="12566" max="12566" width="7.109375" style="516" bestFit="1" customWidth="1"/>
    <col min="12567" max="12800" width="8.6640625" style="516"/>
    <col min="12801" max="12801" width="4.33203125" style="516" customWidth="1"/>
    <col min="12802" max="12802" width="2.88671875" style="516" customWidth="1"/>
    <col min="12803" max="12803" width="40.109375" style="516" customWidth="1"/>
    <col min="12804" max="12804" width="4.33203125" style="516" customWidth="1"/>
    <col min="12805" max="12805" width="9.33203125" style="516" customWidth="1"/>
    <col min="12806" max="12806" width="2.88671875" style="516" customWidth="1"/>
    <col min="12807" max="12807" width="7.88671875" style="516" customWidth="1"/>
    <col min="12808" max="12808" width="2.88671875" style="516" customWidth="1"/>
    <col min="12809" max="12809" width="7.109375" style="516" customWidth="1"/>
    <col min="12810" max="12810" width="2.88671875" style="516" customWidth="1"/>
    <col min="12811" max="12811" width="4.33203125" style="516" customWidth="1"/>
    <col min="12812" max="12812" width="2.88671875" style="516" customWidth="1"/>
    <col min="12813" max="12814" width="6.88671875" style="516" customWidth="1"/>
    <col min="12815" max="12816" width="8.6640625" style="516"/>
    <col min="12817" max="12818" width="8.44140625" style="516" bestFit="1" customWidth="1"/>
    <col min="12819" max="12821" width="8.6640625" style="516"/>
    <col min="12822" max="12822" width="7.109375" style="516" bestFit="1" customWidth="1"/>
    <col min="12823" max="13056" width="8.6640625" style="516"/>
    <col min="13057" max="13057" width="4.33203125" style="516" customWidth="1"/>
    <col min="13058" max="13058" width="2.88671875" style="516" customWidth="1"/>
    <col min="13059" max="13059" width="40.109375" style="516" customWidth="1"/>
    <col min="13060" max="13060" width="4.33203125" style="516" customWidth="1"/>
    <col min="13061" max="13061" width="9.33203125" style="516" customWidth="1"/>
    <col min="13062" max="13062" width="2.88671875" style="516" customWidth="1"/>
    <col min="13063" max="13063" width="7.88671875" style="516" customWidth="1"/>
    <col min="13064" max="13064" width="2.88671875" style="516" customWidth="1"/>
    <col min="13065" max="13065" width="7.109375" style="516" customWidth="1"/>
    <col min="13066" max="13066" width="2.88671875" style="516" customWidth="1"/>
    <col min="13067" max="13067" width="4.33203125" style="516" customWidth="1"/>
    <col min="13068" max="13068" width="2.88671875" style="516" customWidth="1"/>
    <col min="13069" max="13070" width="6.88671875" style="516" customWidth="1"/>
    <col min="13071" max="13072" width="8.6640625" style="516"/>
    <col min="13073" max="13074" width="8.44140625" style="516" bestFit="1" customWidth="1"/>
    <col min="13075" max="13077" width="8.6640625" style="516"/>
    <col min="13078" max="13078" width="7.109375" style="516" bestFit="1" customWidth="1"/>
    <col min="13079" max="13312" width="8.6640625" style="516"/>
    <col min="13313" max="13313" width="4.33203125" style="516" customWidth="1"/>
    <col min="13314" max="13314" width="2.88671875" style="516" customWidth="1"/>
    <col min="13315" max="13315" width="40.109375" style="516" customWidth="1"/>
    <col min="13316" max="13316" width="4.33203125" style="516" customWidth="1"/>
    <col min="13317" max="13317" width="9.33203125" style="516" customWidth="1"/>
    <col min="13318" max="13318" width="2.88671875" style="516" customWidth="1"/>
    <col min="13319" max="13319" width="7.88671875" style="516" customWidth="1"/>
    <col min="13320" max="13320" width="2.88671875" style="516" customWidth="1"/>
    <col min="13321" max="13321" width="7.109375" style="516" customWidth="1"/>
    <col min="13322" max="13322" width="2.88671875" style="516" customWidth="1"/>
    <col min="13323" max="13323" width="4.33203125" style="516" customWidth="1"/>
    <col min="13324" max="13324" width="2.88671875" style="516" customWidth="1"/>
    <col min="13325" max="13326" width="6.88671875" style="516" customWidth="1"/>
    <col min="13327" max="13328" width="8.6640625" style="516"/>
    <col min="13329" max="13330" width="8.44140625" style="516" bestFit="1" customWidth="1"/>
    <col min="13331" max="13333" width="8.6640625" style="516"/>
    <col min="13334" max="13334" width="7.109375" style="516" bestFit="1" customWidth="1"/>
    <col min="13335" max="13568" width="8.6640625" style="516"/>
    <col min="13569" max="13569" width="4.33203125" style="516" customWidth="1"/>
    <col min="13570" max="13570" width="2.88671875" style="516" customWidth="1"/>
    <col min="13571" max="13571" width="40.109375" style="516" customWidth="1"/>
    <col min="13572" max="13572" width="4.33203125" style="516" customWidth="1"/>
    <col min="13573" max="13573" width="9.33203125" style="516" customWidth="1"/>
    <col min="13574" max="13574" width="2.88671875" style="516" customWidth="1"/>
    <col min="13575" max="13575" width="7.88671875" style="516" customWidth="1"/>
    <col min="13576" max="13576" width="2.88671875" style="516" customWidth="1"/>
    <col min="13577" max="13577" width="7.109375" style="516" customWidth="1"/>
    <col min="13578" max="13578" width="2.88671875" style="516" customWidth="1"/>
    <col min="13579" max="13579" width="4.33203125" style="516" customWidth="1"/>
    <col min="13580" max="13580" width="2.88671875" style="516" customWidth="1"/>
    <col min="13581" max="13582" width="6.88671875" style="516" customWidth="1"/>
    <col min="13583" max="13584" width="8.6640625" style="516"/>
    <col min="13585" max="13586" width="8.44140625" style="516" bestFit="1" customWidth="1"/>
    <col min="13587" max="13589" width="8.6640625" style="516"/>
    <col min="13590" max="13590" width="7.109375" style="516" bestFit="1" customWidth="1"/>
    <col min="13591" max="13824" width="8.6640625" style="516"/>
    <col min="13825" max="13825" width="4.33203125" style="516" customWidth="1"/>
    <col min="13826" max="13826" width="2.88671875" style="516" customWidth="1"/>
    <col min="13827" max="13827" width="40.109375" style="516" customWidth="1"/>
    <col min="13828" max="13828" width="4.33203125" style="516" customWidth="1"/>
    <col min="13829" max="13829" width="9.33203125" style="516" customWidth="1"/>
    <col min="13830" max="13830" width="2.88671875" style="516" customWidth="1"/>
    <col min="13831" max="13831" width="7.88671875" style="516" customWidth="1"/>
    <col min="13832" max="13832" width="2.88671875" style="516" customWidth="1"/>
    <col min="13833" max="13833" width="7.109375" style="516" customWidth="1"/>
    <col min="13834" max="13834" width="2.88671875" style="516" customWidth="1"/>
    <col min="13835" max="13835" width="4.33203125" style="516" customWidth="1"/>
    <col min="13836" max="13836" width="2.88671875" style="516" customWidth="1"/>
    <col min="13837" max="13838" width="6.88671875" style="516" customWidth="1"/>
    <col min="13839" max="13840" width="8.6640625" style="516"/>
    <col min="13841" max="13842" width="8.44140625" style="516" bestFit="1" customWidth="1"/>
    <col min="13843" max="13845" width="8.6640625" style="516"/>
    <col min="13846" max="13846" width="7.109375" style="516" bestFit="1" customWidth="1"/>
    <col min="13847" max="14080" width="8.6640625" style="516"/>
    <col min="14081" max="14081" width="4.33203125" style="516" customWidth="1"/>
    <col min="14082" max="14082" width="2.88671875" style="516" customWidth="1"/>
    <col min="14083" max="14083" width="40.109375" style="516" customWidth="1"/>
    <col min="14084" max="14084" width="4.33203125" style="516" customWidth="1"/>
    <col min="14085" max="14085" width="9.33203125" style="516" customWidth="1"/>
    <col min="14086" max="14086" width="2.88671875" style="516" customWidth="1"/>
    <col min="14087" max="14087" width="7.88671875" style="516" customWidth="1"/>
    <col min="14088" max="14088" width="2.88671875" style="516" customWidth="1"/>
    <col min="14089" max="14089" width="7.109375" style="516" customWidth="1"/>
    <col min="14090" max="14090" width="2.88671875" style="516" customWidth="1"/>
    <col min="14091" max="14091" width="4.33203125" style="516" customWidth="1"/>
    <col min="14092" max="14092" width="2.88671875" style="516" customWidth="1"/>
    <col min="14093" max="14094" width="6.88671875" style="516" customWidth="1"/>
    <col min="14095" max="14096" width="8.6640625" style="516"/>
    <col min="14097" max="14098" width="8.44140625" style="516" bestFit="1" customWidth="1"/>
    <col min="14099" max="14101" width="8.6640625" style="516"/>
    <col min="14102" max="14102" width="7.109375" style="516" bestFit="1" customWidth="1"/>
    <col min="14103" max="14336" width="8.6640625" style="516"/>
    <col min="14337" max="14337" width="4.33203125" style="516" customWidth="1"/>
    <col min="14338" max="14338" width="2.88671875" style="516" customWidth="1"/>
    <col min="14339" max="14339" width="40.109375" style="516" customWidth="1"/>
    <col min="14340" max="14340" width="4.33203125" style="516" customWidth="1"/>
    <col min="14341" max="14341" width="9.33203125" style="516" customWidth="1"/>
    <col min="14342" max="14342" width="2.88671875" style="516" customWidth="1"/>
    <col min="14343" max="14343" width="7.88671875" style="516" customWidth="1"/>
    <col min="14344" max="14344" width="2.88671875" style="516" customWidth="1"/>
    <col min="14345" max="14345" width="7.109375" style="516" customWidth="1"/>
    <col min="14346" max="14346" width="2.88671875" style="516" customWidth="1"/>
    <col min="14347" max="14347" width="4.33203125" style="516" customWidth="1"/>
    <col min="14348" max="14348" width="2.88671875" style="516" customWidth="1"/>
    <col min="14349" max="14350" width="6.88671875" style="516" customWidth="1"/>
    <col min="14351" max="14352" width="8.6640625" style="516"/>
    <col min="14353" max="14354" width="8.44140625" style="516" bestFit="1" customWidth="1"/>
    <col min="14355" max="14357" width="8.6640625" style="516"/>
    <col min="14358" max="14358" width="7.109375" style="516" bestFit="1" customWidth="1"/>
    <col min="14359" max="14592" width="8.6640625" style="516"/>
    <col min="14593" max="14593" width="4.33203125" style="516" customWidth="1"/>
    <col min="14594" max="14594" width="2.88671875" style="516" customWidth="1"/>
    <col min="14595" max="14595" width="40.109375" style="516" customWidth="1"/>
    <col min="14596" max="14596" width="4.33203125" style="516" customWidth="1"/>
    <col min="14597" max="14597" width="9.33203125" style="516" customWidth="1"/>
    <col min="14598" max="14598" width="2.88671875" style="516" customWidth="1"/>
    <col min="14599" max="14599" width="7.88671875" style="516" customWidth="1"/>
    <col min="14600" max="14600" width="2.88671875" style="516" customWidth="1"/>
    <col min="14601" max="14601" width="7.109375" style="516" customWidth="1"/>
    <col min="14602" max="14602" width="2.88671875" style="516" customWidth="1"/>
    <col min="14603" max="14603" width="4.33203125" style="516" customWidth="1"/>
    <col min="14604" max="14604" width="2.88671875" style="516" customWidth="1"/>
    <col min="14605" max="14606" width="6.88671875" style="516" customWidth="1"/>
    <col min="14607" max="14608" width="8.6640625" style="516"/>
    <col min="14609" max="14610" width="8.44140625" style="516" bestFit="1" customWidth="1"/>
    <col min="14611" max="14613" width="8.6640625" style="516"/>
    <col min="14614" max="14614" width="7.109375" style="516" bestFit="1" customWidth="1"/>
    <col min="14615" max="14848" width="8.6640625" style="516"/>
    <col min="14849" max="14849" width="4.33203125" style="516" customWidth="1"/>
    <col min="14850" max="14850" width="2.88671875" style="516" customWidth="1"/>
    <col min="14851" max="14851" width="40.109375" style="516" customWidth="1"/>
    <col min="14852" max="14852" width="4.33203125" style="516" customWidth="1"/>
    <col min="14853" max="14853" width="9.33203125" style="516" customWidth="1"/>
    <col min="14854" max="14854" width="2.88671875" style="516" customWidth="1"/>
    <col min="14855" max="14855" width="7.88671875" style="516" customWidth="1"/>
    <col min="14856" max="14856" width="2.88671875" style="516" customWidth="1"/>
    <col min="14857" max="14857" width="7.109375" style="516" customWidth="1"/>
    <col min="14858" max="14858" width="2.88671875" style="516" customWidth="1"/>
    <col min="14859" max="14859" width="4.33203125" style="516" customWidth="1"/>
    <col min="14860" max="14860" width="2.88671875" style="516" customWidth="1"/>
    <col min="14861" max="14862" width="6.88671875" style="516" customWidth="1"/>
    <col min="14863" max="14864" width="8.6640625" style="516"/>
    <col min="14865" max="14866" width="8.44140625" style="516" bestFit="1" customWidth="1"/>
    <col min="14867" max="14869" width="8.6640625" style="516"/>
    <col min="14870" max="14870" width="7.109375" style="516" bestFit="1" customWidth="1"/>
    <col min="14871" max="15104" width="8.6640625" style="516"/>
    <col min="15105" max="15105" width="4.33203125" style="516" customWidth="1"/>
    <col min="15106" max="15106" width="2.88671875" style="516" customWidth="1"/>
    <col min="15107" max="15107" width="40.109375" style="516" customWidth="1"/>
    <col min="15108" max="15108" width="4.33203125" style="516" customWidth="1"/>
    <col min="15109" max="15109" width="9.33203125" style="516" customWidth="1"/>
    <col min="15110" max="15110" width="2.88671875" style="516" customWidth="1"/>
    <col min="15111" max="15111" width="7.88671875" style="516" customWidth="1"/>
    <col min="15112" max="15112" width="2.88671875" style="516" customWidth="1"/>
    <col min="15113" max="15113" width="7.109375" style="516" customWidth="1"/>
    <col min="15114" max="15114" width="2.88671875" style="516" customWidth="1"/>
    <col min="15115" max="15115" width="4.33203125" style="516" customWidth="1"/>
    <col min="15116" max="15116" width="2.88671875" style="516" customWidth="1"/>
    <col min="15117" max="15118" width="6.88671875" style="516" customWidth="1"/>
    <col min="15119" max="15120" width="8.6640625" style="516"/>
    <col min="15121" max="15122" width="8.44140625" style="516" bestFit="1" customWidth="1"/>
    <col min="15123" max="15125" width="8.6640625" style="516"/>
    <col min="15126" max="15126" width="7.109375" style="516" bestFit="1" customWidth="1"/>
    <col min="15127" max="15360" width="8.6640625" style="516"/>
    <col min="15361" max="15361" width="4.33203125" style="516" customWidth="1"/>
    <col min="15362" max="15362" width="2.88671875" style="516" customWidth="1"/>
    <col min="15363" max="15363" width="40.109375" style="516" customWidth="1"/>
    <col min="15364" max="15364" width="4.33203125" style="516" customWidth="1"/>
    <col min="15365" max="15365" width="9.33203125" style="516" customWidth="1"/>
    <col min="15366" max="15366" width="2.88671875" style="516" customWidth="1"/>
    <col min="15367" max="15367" width="7.88671875" style="516" customWidth="1"/>
    <col min="15368" max="15368" width="2.88671875" style="516" customWidth="1"/>
    <col min="15369" max="15369" width="7.109375" style="516" customWidth="1"/>
    <col min="15370" max="15370" width="2.88671875" style="516" customWidth="1"/>
    <col min="15371" max="15371" width="4.33203125" style="516" customWidth="1"/>
    <col min="15372" max="15372" width="2.88671875" style="516" customWidth="1"/>
    <col min="15373" max="15374" width="6.88671875" style="516" customWidth="1"/>
    <col min="15375" max="15376" width="8.6640625" style="516"/>
    <col min="15377" max="15378" width="8.44140625" style="516" bestFit="1" customWidth="1"/>
    <col min="15379" max="15381" width="8.6640625" style="516"/>
    <col min="15382" max="15382" width="7.109375" style="516" bestFit="1" customWidth="1"/>
    <col min="15383" max="15616" width="8.6640625" style="516"/>
    <col min="15617" max="15617" width="4.33203125" style="516" customWidth="1"/>
    <col min="15618" max="15618" width="2.88671875" style="516" customWidth="1"/>
    <col min="15619" max="15619" width="40.109375" style="516" customWidth="1"/>
    <col min="15620" max="15620" width="4.33203125" style="516" customWidth="1"/>
    <col min="15621" max="15621" width="9.33203125" style="516" customWidth="1"/>
    <col min="15622" max="15622" width="2.88671875" style="516" customWidth="1"/>
    <col min="15623" max="15623" width="7.88671875" style="516" customWidth="1"/>
    <col min="15624" max="15624" width="2.88671875" style="516" customWidth="1"/>
    <col min="15625" max="15625" width="7.109375" style="516" customWidth="1"/>
    <col min="15626" max="15626" width="2.88671875" style="516" customWidth="1"/>
    <col min="15627" max="15627" width="4.33203125" style="516" customWidth="1"/>
    <col min="15628" max="15628" width="2.88671875" style="516" customWidth="1"/>
    <col min="15629" max="15630" width="6.88671875" style="516" customWidth="1"/>
    <col min="15631" max="15632" width="8.6640625" style="516"/>
    <col min="15633" max="15634" width="8.44140625" style="516" bestFit="1" customWidth="1"/>
    <col min="15635" max="15637" width="8.6640625" style="516"/>
    <col min="15638" max="15638" width="7.109375" style="516" bestFit="1" customWidth="1"/>
    <col min="15639" max="15872" width="8.6640625" style="516"/>
    <col min="15873" max="15873" width="4.33203125" style="516" customWidth="1"/>
    <col min="15874" max="15874" width="2.88671875" style="516" customWidth="1"/>
    <col min="15875" max="15875" width="40.109375" style="516" customWidth="1"/>
    <col min="15876" max="15876" width="4.33203125" style="516" customWidth="1"/>
    <col min="15877" max="15877" width="9.33203125" style="516" customWidth="1"/>
    <col min="15878" max="15878" width="2.88671875" style="516" customWidth="1"/>
    <col min="15879" max="15879" width="7.88671875" style="516" customWidth="1"/>
    <col min="15880" max="15880" width="2.88671875" style="516" customWidth="1"/>
    <col min="15881" max="15881" width="7.109375" style="516" customWidth="1"/>
    <col min="15882" max="15882" width="2.88671875" style="516" customWidth="1"/>
    <col min="15883" max="15883" width="4.33203125" style="516" customWidth="1"/>
    <col min="15884" max="15884" width="2.88671875" style="516" customWidth="1"/>
    <col min="15885" max="15886" width="6.88671875" style="516" customWidth="1"/>
    <col min="15887" max="15888" width="8.6640625" style="516"/>
    <col min="15889" max="15890" width="8.44140625" style="516" bestFit="1" customWidth="1"/>
    <col min="15891" max="15893" width="8.6640625" style="516"/>
    <col min="15894" max="15894" width="7.109375" style="516" bestFit="1" customWidth="1"/>
    <col min="15895" max="16128" width="8.6640625" style="516"/>
    <col min="16129" max="16129" width="4.33203125" style="516" customWidth="1"/>
    <col min="16130" max="16130" width="2.88671875" style="516" customWidth="1"/>
    <col min="16131" max="16131" width="40.109375" style="516" customWidth="1"/>
    <col min="16132" max="16132" width="4.33203125" style="516" customWidth="1"/>
    <col min="16133" max="16133" width="9.33203125" style="516" customWidth="1"/>
    <col min="16134" max="16134" width="2.88671875" style="516" customWidth="1"/>
    <col min="16135" max="16135" width="7.88671875" style="516" customWidth="1"/>
    <col min="16136" max="16136" width="2.88671875" style="516" customWidth="1"/>
    <col min="16137" max="16137" width="7.109375" style="516" customWidth="1"/>
    <col min="16138" max="16138" width="2.88671875" style="516" customWidth="1"/>
    <col min="16139" max="16139" width="4.33203125" style="516" customWidth="1"/>
    <col min="16140" max="16140" width="2.88671875" style="516" customWidth="1"/>
    <col min="16141" max="16142" width="6.88671875" style="516" customWidth="1"/>
    <col min="16143" max="16144" width="8.6640625" style="516"/>
    <col min="16145" max="16146" width="8.44140625" style="516" bestFit="1" customWidth="1"/>
    <col min="16147" max="16149" width="8.6640625" style="516"/>
    <col min="16150" max="16150" width="7.109375" style="516" bestFit="1" customWidth="1"/>
    <col min="16151" max="16384" width="8.6640625" style="516"/>
  </cols>
  <sheetData>
    <row r="1" spans="1:11">
      <c r="A1" s="156"/>
      <c r="B1" s="663"/>
      <c r="C1" s="156"/>
      <c r="D1" s="156"/>
      <c r="E1" s="156"/>
      <c r="F1" s="156"/>
      <c r="G1" s="156"/>
      <c r="H1" s="156"/>
      <c r="I1" s="156"/>
      <c r="J1" s="156"/>
      <c r="K1" s="485" t="s">
        <v>1220</v>
      </c>
    </row>
    <row r="2" spans="1:1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485" t="s">
        <v>1046</v>
      </c>
    </row>
    <row r="3" spans="1:11">
      <c r="A3" s="1166" t="s">
        <v>4</v>
      </c>
      <c r="B3" s="1166"/>
      <c r="C3" s="1166"/>
      <c r="D3" s="1166"/>
      <c r="E3" s="1166"/>
      <c r="F3" s="1166"/>
      <c r="G3" s="1166"/>
      <c r="H3" s="1166"/>
      <c r="I3" s="1166"/>
      <c r="J3" s="1166"/>
      <c r="K3" s="1166"/>
    </row>
    <row r="4" spans="1:11">
      <c r="A4" s="1166" t="s">
        <v>1221</v>
      </c>
      <c r="B4" s="1166"/>
      <c r="C4" s="1166"/>
      <c r="D4" s="1166"/>
      <c r="E4" s="1166"/>
      <c r="F4" s="1166"/>
      <c r="G4" s="1166"/>
      <c r="H4" s="1166"/>
      <c r="I4" s="1166"/>
      <c r="J4" s="1166"/>
      <c r="K4" s="1166"/>
    </row>
    <row r="5" spans="1:11">
      <c r="A5" s="1166" t="str">
        <f>'D1 P2'!A5</f>
        <v>Projected Period Ended June 30, 2025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</row>
    <row r="6" spans="1:11">
      <c r="A6" s="1166" t="s">
        <v>799</v>
      </c>
      <c r="B6" s="1166"/>
      <c r="C6" s="1166"/>
      <c r="D6" s="1166"/>
      <c r="E6" s="1166"/>
      <c r="F6" s="1166"/>
      <c r="G6" s="1166"/>
      <c r="H6" s="1166"/>
      <c r="I6" s="1166"/>
      <c r="J6" s="1166"/>
      <c r="K6" s="1166"/>
    </row>
    <row r="7" spans="1:11">
      <c r="A7" s="486"/>
      <c r="B7" s="486"/>
      <c r="C7" s="486"/>
      <c r="D7" s="486"/>
      <c r="E7" s="486"/>
      <c r="F7" s="486"/>
      <c r="G7" s="486"/>
      <c r="H7" s="486"/>
      <c r="I7" s="486"/>
      <c r="J7" s="486"/>
      <c r="K7" s="486"/>
    </row>
    <row r="8" spans="1:11">
      <c r="A8" s="156"/>
      <c r="B8" s="156"/>
      <c r="C8" s="156"/>
      <c r="D8" s="156"/>
      <c r="E8" s="156"/>
      <c r="F8" s="156"/>
      <c r="G8" s="156"/>
      <c r="H8" s="156"/>
      <c r="I8" s="156"/>
      <c r="J8" s="156"/>
      <c r="K8" s="156"/>
    </row>
    <row r="9" spans="1:11">
      <c r="A9" s="156"/>
      <c r="B9" s="156"/>
      <c r="C9" s="156"/>
      <c r="D9" s="156"/>
      <c r="E9" s="1184" t="str">
        <f>'D1 P2'!A5</f>
        <v>Projected Period Ended June 30, 2025</v>
      </c>
      <c r="F9" s="1184"/>
      <c r="G9" s="1184"/>
      <c r="H9" s="1184"/>
      <c r="I9" s="1184"/>
      <c r="J9" s="486"/>
      <c r="K9" s="156"/>
    </row>
    <row r="10" spans="1:11" s="524" customFormat="1" ht="20.399999999999999">
      <c r="A10" s="158" t="s">
        <v>800</v>
      </c>
      <c r="B10" s="159"/>
      <c r="C10" s="1128" t="s">
        <v>0</v>
      </c>
      <c r="D10" s="159"/>
      <c r="E10" s="158" t="s">
        <v>1222</v>
      </c>
      <c r="F10" s="159"/>
      <c r="G10" s="158" t="s">
        <v>1223</v>
      </c>
      <c r="H10" s="159"/>
      <c r="I10" s="158" t="s">
        <v>1939</v>
      </c>
      <c r="J10" s="159"/>
      <c r="K10" s="158" t="s">
        <v>800</v>
      </c>
    </row>
    <row r="11" spans="1:11">
      <c r="A11" s="156"/>
      <c r="B11" s="156"/>
      <c r="C11" s="156"/>
      <c r="D11" s="156"/>
      <c r="E11" s="160"/>
      <c r="F11" s="160"/>
      <c r="G11" s="160"/>
      <c r="H11" s="160"/>
      <c r="I11" s="160"/>
      <c r="J11" s="160"/>
      <c r="K11" s="156"/>
    </row>
    <row r="12" spans="1:11">
      <c r="A12" s="160"/>
      <c r="B12" s="156"/>
      <c r="C12" s="156" t="s">
        <v>1225</v>
      </c>
      <c r="D12" s="156"/>
      <c r="E12" s="156"/>
      <c r="F12" s="156"/>
      <c r="G12" s="156"/>
      <c r="H12" s="156"/>
      <c r="I12" s="156"/>
      <c r="J12" s="156"/>
      <c r="K12" s="160"/>
    </row>
    <row r="13" spans="1:11">
      <c r="A13" s="160">
        <v>1</v>
      </c>
      <c r="B13" s="156"/>
      <c r="C13" s="156" t="s">
        <v>1874</v>
      </c>
      <c r="D13" s="156"/>
      <c r="E13" s="501">
        <v>50000</v>
      </c>
      <c r="F13" s="162"/>
      <c r="G13" s="501">
        <v>2695</v>
      </c>
      <c r="H13" s="735"/>
      <c r="I13" s="735"/>
      <c r="J13" s="735"/>
      <c r="K13" s="160">
        <f t="shared" ref="K13:K16" si="0">+A13</f>
        <v>1</v>
      </c>
    </row>
    <row r="14" spans="1:11">
      <c r="A14" s="160">
        <f>+A13+1</f>
        <v>2</v>
      </c>
      <c r="B14" s="156"/>
      <c r="C14" s="156" t="s">
        <v>1875</v>
      </c>
      <c r="D14" s="1019"/>
      <c r="E14" s="501">
        <v>45000</v>
      </c>
      <c r="F14" s="162"/>
      <c r="G14" s="501">
        <v>1800</v>
      </c>
      <c r="H14" s="735"/>
      <c r="I14" s="735"/>
      <c r="J14" s="735"/>
      <c r="K14" s="160">
        <f t="shared" si="0"/>
        <v>2</v>
      </c>
    </row>
    <row r="15" spans="1:11">
      <c r="A15" s="160">
        <f>+A14+1</f>
        <v>3</v>
      </c>
      <c r="B15" s="156"/>
      <c r="C15" s="156" t="s">
        <v>1876</v>
      </c>
      <c r="D15" s="156"/>
      <c r="E15" s="501">
        <v>30000</v>
      </c>
      <c r="F15" s="162"/>
      <c r="G15" s="501">
        <v>1679.9999999999998</v>
      </c>
      <c r="H15" s="735"/>
      <c r="I15" s="735"/>
      <c r="J15" s="735"/>
      <c r="K15" s="160">
        <f t="shared" si="0"/>
        <v>3</v>
      </c>
    </row>
    <row r="16" spans="1:11">
      <c r="A16" s="160">
        <f>+A15+1</f>
        <v>4</v>
      </c>
      <c r="B16" s="156"/>
      <c r="C16" s="156" t="s">
        <v>1226</v>
      </c>
      <c r="D16" s="156"/>
      <c r="E16" s="787">
        <f>SUM(E13:E15)</f>
        <v>125000</v>
      </c>
      <c r="F16" s="156"/>
      <c r="G16" s="787">
        <f>SUM(G13:G15)</f>
        <v>6175</v>
      </c>
      <c r="H16" s="735"/>
      <c r="I16" s="788">
        <f>+G16/E16</f>
        <v>4.9399999999999999E-2</v>
      </c>
      <c r="J16" s="735"/>
      <c r="K16" s="160">
        <f t="shared" si="0"/>
        <v>4</v>
      </c>
    </row>
    <row r="17" spans="1:11">
      <c r="A17" s="160"/>
      <c r="B17" s="156"/>
      <c r="C17" s="156"/>
      <c r="D17" s="156"/>
      <c r="E17" s="735"/>
      <c r="F17" s="735"/>
      <c r="G17" s="735"/>
      <c r="H17" s="735"/>
      <c r="I17" s="735"/>
      <c r="J17" s="735"/>
      <c r="K17" s="160"/>
    </row>
    <row r="18" spans="1:11">
      <c r="A18" s="160"/>
      <c r="B18" s="156"/>
      <c r="C18" s="156" t="s">
        <v>1227</v>
      </c>
      <c r="D18" s="156"/>
      <c r="E18" s="162"/>
      <c r="F18" s="162"/>
      <c r="G18" s="162"/>
      <c r="H18" s="735"/>
      <c r="I18" s="735"/>
      <c r="J18" s="735"/>
      <c r="K18" s="160"/>
    </row>
    <row r="19" spans="1:11">
      <c r="A19" s="160">
        <f>+A16+1</f>
        <v>5</v>
      </c>
      <c r="B19" s="156"/>
      <c r="C19" s="156" t="s">
        <v>1228</v>
      </c>
      <c r="D19" s="156"/>
      <c r="E19" s="738">
        <v>0</v>
      </c>
      <c r="F19" s="162"/>
      <c r="G19" s="738">
        <v>0</v>
      </c>
      <c r="H19" s="735"/>
      <c r="I19" s="735"/>
      <c r="J19" s="735"/>
      <c r="K19" s="160">
        <f>+A19</f>
        <v>5</v>
      </c>
    </row>
    <row r="20" spans="1:11">
      <c r="A20" s="160">
        <f>+A19+1</f>
        <v>6</v>
      </c>
      <c r="B20" s="156"/>
      <c r="C20" s="156" t="s">
        <v>1229</v>
      </c>
      <c r="D20" s="156"/>
      <c r="E20" s="738">
        <f>SUM(E19:E19)</f>
        <v>0</v>
      </c>
      <c r="F20" s="156"/>
      <c r="G20" s="738">
        <f>SUM(G19:G19)</f>
        <v>0</v>
      </c>
      <c r="H20" s="156"/>
      <c r="I20" s="495" t="s">
        <v>22</v>
      </c>
      <c r="J20" s="156"/>
      <c r="K20" s="160">
        <f>+A20</f>
        <v>6</v>
      </c>
    </row>
    <row r="21" spans="1:11">
      <c r="A21" s="156"/>
      <c r="B21" s="156"/>
      <c r="C21" s="156"/>
      <c r="D21" s="156"/>
      <c r="E21" s="156"/>
      <c r="F21" s="156"/>
      <c r="G21" s="156"/>
      <c r="H21" s="156"/>
      <c r="I21" s="156"/>
      <c r="J21" s="162"/>
      <c r="K21" s="156"/>
    </row>
    <row r="22" spans="1:11">
      <c r="A22" s="160">
        <f>A20+1</f>
        <v>7</v>
      </c>
      <c r="B22" s="156"/>
      <c r="C22" s="156" t="s">
        <v>1230</v>
      </c>
      <c r="D22" s="156"/>
      <c r="E22" s="787">
        <f>E16+E20</f>
        <v>125000</v>
      </c>
      <c r="F22" s="156"/>
      <c r="G22" s="787">
        <f>G16+G20</f>
        <v>6175</v>
      </c>
      <c r="H22" s="735"/>
      <c r="I22" s="788">
        <f>+G22/E22</f>
        <v>4.9399999999999999E-2</v>
      </c>
      <c r="J22" s="156"/>
      <c r="K22" s="160">
        <f>+A22</f>
        <v>7</v>
      </c>
    </row>
    <row r="23" spans="1:11">
      <c r="A23" s="160"/>
      <c r="B23" s="156"/>
      <c r="C23" s="156"/>
      <c r="D23" s="156"/>
      <c r="E23" s="162"/>
      <c r="F23" s="162"/>
      <c r="G23" s="162"/>
      <c r="H23" s="162"/>
      <c r="I23" s="162"/>
      <c r="J23" s="162"/>
      <c r="K23" s="160"/>
    </row>
    <row r="24" spans="1:11">
      <c r="A24" s="156"/>
      <c r="B24" s="156"/>
      <c r="C24" s="156" t="s">
        <v>1231</v>
      </c>
      <c r="D24" s="156"/>
      <c r="E24" s="156"/>
      <c r="F24" s="735"/>
      <c r="G24" s="735" t="s">
        <v>181</v>
      </c>
      <c r="H24" s="735"/>
      <c r="I24" s="735"/>
      <c r="J24" s="735"/>
      <c r="K24" s="156"/>
    </row>
    <row r="25" spans="1:11">
      <c r="A25" s="160">
        <f>+A22+1</f>
        <v>8</v>
      </c>
      <c r="B25" s="156"/>
      <c r="C25" s="156" t="s">
        <v>1232</v>
      </c>
      <c r="D25" s="786"/>
      <c r="E25" s="501">
        <v>-730.27200000000005</v>
      </c>
      <c r="F25" s="162"/>
      <c r="G25" s="162"/>
      <c r="H25" s="162"/>
      <c r="I25" s="162"/>
      <c r="J25" s="735"/>
      <c r="K25" s="160">
        <f>+A25</f>
        <v>8</v>
      </c>
    </row>
    <row r="26" spans="1:11">
      <c r="A26" s="156"/>
      <c r="B26" s="156"/>
      <c r="C26" s="156" t="s">
        <v>1233</v>
      </c>
      <c r="D26" s="156"/>
      <c r="E26" s="156"/>
      <c r="F26" s="156"/>
      <c r="G26" s="156"/>
      <c r="H26" s="156"/>
      <c r="I26" s="156"/>
      <c r="J26" s="735"/>
      <c r="K26" s="160"/>
    </row>
    <row r="27" spans="1:11">
      <c r="A27" s="160">
        <f>A25+1</f>
        <v>9</v>
      </c>
      <c r="B27" s="156"/>
      <c r="C27" s="156" t="s">
        <v>1234</v>
      </c>
      <c r="D27" s="156"/>
      <c r="E27" s="162"/>
      <c r="F27" s="786"/>
      <c r="G27" s="501">
        <v>136.18600000000001</v>
      </c>
      <c r="H27" s="162"/>
      <c r="I27" s="162"/>
      <c r="J27" s="735"/>
      <c r="K27" s="160">
        <f>+A27</f>
        <v>9</v>
      </c>
    </row>
    <row r="28" spans="1:11">
      <c r="A28" s="160">
        <f>+A27+1</f>
        <v>10</v>
      </c>
      <c r="B28" s="156"/>
      <c r="C28" s="156" t="s">
        <v>1235</v>
      </c>
      <c r="D28" s="1020"/>
      <c r="E28" s="736"/>
      <c r="F28" s="496" t="s">
        <v>825</v>
      </c>
      <c r="G28" s="738">
        <v>78.125</v>
      </c>
      <c r="H28" s="156"/>
      <c r="I28" s="736"/>
      <c r="J28" s="156"/>
      <c r="K28" s="160">
        <f>+A28</f>
        <v>10</v>
      </c>
    </row>
    <row r="29" spans="1:11">
      <c r="A29" s="156"/>
      <c r="B29" s="156"/>
      <c r="C29" s="156"/>
      <c r="D29" s="156"/>
      <c r="E29" s="156"/>
      <c r="F29" s="156"/>
      <c r="G29" s="156"/>
      <c r="H29" s="156"/>
      <c r="I29" s="156"/>
      <c r="J29" s="501"/>
      <c r="K29" s="156"/>
    </row>
    <row r="30" spans="1:11">
      <c r="A30" s="160">
        <f>+A28+1</f>
        <v>11</v>
      </c>
      <c r="B30" s="156"/>
      <c r="C30" s="156" t="s">
        <v>1236</v>
      </c>
      <c r="D30" s="156"/>
      <c r="E30" s="787">
        <f>SUM(E22:E28)</f>
        <v>124269.728</v>
      </c>
      <c r="F30" s="501"/>
      <c r="G30" s="787">
        <f>SUM(G22:G28)</f>
        <v>6389.3109999999997</v>
      </c>
      <c r="H30" s="501"/>
      <c r="I30" s="788">
        <f>+G30/E30</f>
        <v>5.1414862676773539E-2</v>
      </c>
      <c r="J30" s="156"/>
      <c r="K30" s="160">
        <f>+A30</f>
        <v>11</v>
      </c>
    </row>
    <row r="31" spans="1:11">
      <c r="A31" s="160"/>
      <c r="B31" s="156"/>
      <c r="C31" s="156"/>
      <c r="D31" s="156"/>
      <c r="E31" s="156"/>
      <c r="F31" s="156"/>
      <c r="G31" s="156"/>
      <c r="H31" s="156"/>
      <c r="I31" s="156"/>
      <c r="J31" s="156"/>
      <c r="K31" s="156"/>
    </row>
    <row r="32" spans="1:11">
      <c r="A32" s="160">
        <f>+A30+1</f>
        <v>12</v>
      </c>
      <c r="B32" s="156" t="s">
        <v>181</v>
      </c>
      <c r="C32" s="156" t="s">
        <v>1237</v>
      </c>
      <c r="D32" s="156"/>
      <c r="E32" s="789">
        <v>0</v>
      </c>
      <c r="F32" s="156"/>
      <c r="G32" s="789">
        <v>0</v>
      </c>
      <c r="H32" s="156"/>
      <c r="I32" s="495" t="s">
        <v>22</v>
      </c>
      <c r="J32" s="156"/>
      <c r="K32" s="160">
        <f>+A32</f>
        <v>12</v>
      </c>
    </row>
    <row r="33" spans="1:11">
      <c r="A33" s="160"/>
      <c r="B33" s="156"/>
      <c r="C33" s="156"/>
      <c r="D33" s="156"/>
      <c r="E33" s="156"/>
      <c r="F33" s="156"/>
      <c r="G33" s="156"/>
      <c r="H33" s="156"/>
      <c r="I33" s="156"/>
      <c r="J33" s="156"/>
      <c r="K33" s="156"/>
    </row>
    <row r="34" spans="1:11" ht="10.8" thickBot="1">
      <c r="A34" s="160">
        <f>A32+1</f>
        <v>13</v>
      </c>
      <c r="B34" s="156"/>
      <c r="C34" s="156" t="s">
        <v>1238</v>
      </c>
      <c r="D34" s="156"/>
      <c r="E34" s="790">
        <f>E30+E32</f>
        <v>124269.728</v>
      </c>
      <c r="F34" s="156"/>
      <c r="G34" s="790">
        <f>G30+G32</f>
        <v>6389.3109999999997</v>
      </c>
      <c r="H34" s="156"/>
      <c r="I34" s="791">
        <f>G34/E34</f>
        <v>5.1414862676773539E-2</v>
      </c>
      <c r="J34" s="156"/>
      <c r="K34" s="160">
        <f>K32+1</f>
        <v>13</v>
      </c>
    </row>
    <row r="35" spans="1:11" ht="10.8" thickTop="1">
      <c r="A35" s="160"/>
      <c r="B35" s="156"/>
      <c r="C35" s="156"/>
      <c r="D35" s="156"/>
      <c r="E35" s="734"/>
      <c r="F35" s="156"/>
      <c r="G35" s="734"/>
      <c r="H35" s="156"/>
      <c r="I35" s="546"/>
      <c r="J35" s="156"/>
      <c r="K35" s="160"/>
    </row>
    <row r="36" spans="1:11">
      <c r="A36" s="160"/>
      <c r="B36" s="156"/>
      <c r="C36" s="156"/>
      <c r="D36" s="156"/>
      <c r="E36" s="734"/>
      <c r="F36" s="156"/>
      <c r="G36" s="734"/>
      <c r="H36" s="156"/>
      <c r="I36" s="546"/>
      <c r="J36" s="156"/>
      <c r="K36" s="160"/>
    </row>
    <row r="37" spans="1:11">
      <c r="A37" s="160"/>
      <c r="B37" s="1199" t="s">
        <v>1877</v>
      </c>
      <c r="C37" s="1199"/>
      <c r="D37" s="1199"/>
      <c r="E37" s="1199"/>
      <c r="F37" s="1199"/>
      <c r="G37" s="1199"/>
      <c r="H37" s="1199"/>
      <c r="I37" s="1199"/>
      <c r="J37" s="1199"/>
      <c r="K37" s="160"/>
    </row>
    <row r="38" spans="1:11">
      <c r="A38" s="160"/>
      <c r="B38" s="1199"/>
      <c r="C38" s="1200"/>
      <c r="D38" s="1200"/>
      <c r="E38" s="1200"/>
      <c r="F38" s="1200"/>
      <c r="G38" s="1200"/>
      <c r="H38" s="1200"/>
      <c r="I38" s="1200"/>
      <c r="J38" s="1200"/>
      <c r="K38" s="160"/>
    </row>
    <row r="39" spans="1:11">
      <c r="A39" s="156"/>
      <c r="B39" s="156"/>
      <c r="C39" s="512" t="s">
        <v>826</v>
      </c>
      <c r="D39" s="156"/>
      <c r="E39" s="694" t="s">
        <v>990</v>
      </c>
      <c r="F39" s="694"/>
      <c r="G39" s="156"/>
      <c r="H39" s="156"/>
      <c r="I39" s="156"/>
      <c r="J39" s="156"/>
      <c r="K39" s="156"/>
    </row>
    <row r="40" spans="1:11">
      <c r="A40" s="156"/>
      <c r="B40" s="156"/>
      <c r="C40" s="160" t="s">
        <v>22</v>
      </c>
      <c r="D40" s="156"/>
      <c r="E40" s="486" t="s">
        <v>1240</v>
      </c>
      <c r="F40" s="486"/>
      <c r="G40" s="156"/>
      <c r="H40" s="156"/>
      <c r="I40" s="156"/>
      <c r="J40" s="156"/>
      <c r="K40" s="156"/>
    </row>
    <row r="41" spans="1:11">
      <c r="A41" s="513"/>
      <c r="B41" s="156"/>
      <c r="C41" s="156"/>
      <c r="D41" s="156"/>
      <c r="E41" s="156"/>
      <c r="F41" s="156"/>
      <c r="G41" s="156"/>
      <c r="H41" s="156"/>
      <c r="I41" s="156"/>
      <c r="J41" s="156"/>
      <c r="K41" s="519"/>
    </row>
    <row r="42" spans="1:11">
      <c r="A42" s="513" t="s">
        <v>1248</v>
      </c>
      <c r="B42" s="156"/>
      <c r="C42" s="156"/>
      <c r="D42" s="513"/>
      <c r="E42" s="156"/>
      <c r="F42" s="156"/>
      <c r="G42" s="156"/>
      <c r="H42" s="156"/>
      <c r="I42" s="156"/>
      <c r="J42" s="156"/>
      <c r="K42" s="519"/>
    </row>
    <row r="43" spans="1:11">
      <c r="A43" s="156"/>
      <c r="B43" s="156"/>
      <c r="C43" s="156"/>
      <c r="D43" s="487"/>
      <c r="E43" s="156"/>
      <c r="F43" s="156"/>
      <c r="G43" s="156"/>
      <c r="H43" s="156"/>
      <c r="I43" s="156"/>
      <c r="J43" s="156"/>
    </row>
    <row r="44" spans="1:11">
      <c r="A44" s="513"/>
      <c r="B44" s="1197" t="s">
        <v>1922</v>
      </c>
      <c r="C44" s="1197"/>
      <c r="D44" s="1197"/>
      <c r="E44" s="1197"/>
      <c r="F44" s="1197"/>
      <c r="G44" s="1197"/>
      <c r="H44" s="156"/>
      <c r="I44" s="156"/>
      <c r="J44" s="156"/>
    </row>
    <row r="45" spans="1:11">
      <c r="A45" s="487"/>
      <c r="B45" s="1198" t="s">
        <v>1242</v>
      </c>
      <c r="C45" s="1197"/>
      <c r="D45" s="1197"/>
      <c r="E45" s="1197"/>
      <c r="F45" s="1197"/>
      <c r="G45" s="1197"/>
      <c r="H45" s="156"/>
      <c r="I45" s="156"/>
      <c r="J45" s="156"/>
    </row>
    <row r="46" spans="1:11">
      <c r="A46" s="793"/>
      <c r="B46" s="1198" t="s">
        <v>1249</v>
      </c>
      <c r="C46" s="1197"/>
      <c r="D46" s="1197"/>
      <c r="E46" s="1197"/>
      <c r="F46" s="1197"/>
      <c r="G46" s="1197"/>
      <c r="H46" s="156"/>
      <c r="I46" s="156"/>
      <c r="J46" s="156"/>
    </row>
    <row r="47" spans="1:11">
      <c r="A47" s="793"/>
      <c r="B47" s="1198" t="s">
        <v>1250</v>
      </c>
      <c r="C47" s="1197"/>
      <c r="D47" s="1197"/>
      <c r="E47" s="1197"/>
      <c r="F47" s="1197"/>
      <c r="G47" s="1197"/>
      <c r="H47" s="156"/>
      <c r="I47" s="156"/>
      <c r="J47" s="156"/>
    </row>
  </sheetData>
  <mergeCells count="11">
    <mergeCell ref="A3:K3"/>
    <mergeCell ref="A4:K4"/>
    <mergeCell ref="A5:K5"/>
    <mergeCell ref="A6:K6"/>
    <mergeCell ref="B47:G47"/>
    <mergeCell ref="E9:I9"/>
    <mergeCell ref="B37:J37"/>
    <mergeCell ref="B38:J38"/>
    <mergeCell ref="B44:G44"/>
    <mergeCell ref="B45:G45"/>
    <mergeCell ref="B46:G46"/>
  </mergeCells>
  <printOptions horizontalCentered="1"/>
  <pageMargins left="0.7" right="0.7" top="0.75" bottom="0.75" header="0.3" footer="0.3"/>
  <pageSetup scale="94" fitToHeight="0" orientation="landscape" r:id="rId1"/>
  <headerFooter alignWithMargins="0"/>
  <rowBreaks count="1" manualBreakCount="1">
    <brk id="45" max="14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5966C-BEE9-4CDB-9FE9-994E057A671F}">
  <sheetPr>
    <pageSetUpPr fitToPage="1"/>
  </sheetPr>
  <dimension ref="A1:H27"/>
  <sheetViews>
    <sheetView showGridLines="0" zoomScaleNormal="100" zoomScaleSheetLayoutView="100" workbookViewId="0"/>
  </sheetViews>
  <sheetFormatPr defaultColWidth="7" defaultRowHeight="10.199999999999999"/>
  <cols>
    <col min="1" max="1" width="11.5546875" style="156" customWidth="1"/>
    <col min="2" max="2" width="16.6640625" style="156" customWidth="1"/>
    <col min="3" max="3" width="11.5546875" style="156" customWidth="1"/>
    <col min="4" max="4" width="13.88671875" style="156" customWidth="1"/>
    <col min="5" max="8" width="10.109375" style="156" customWidth="1"/>
    <col min="9" max="9" width="2.109375" style="156" customWidth="1"/>
    <col min="10" max="10" width="3.44140625" style="156" customWidth="1"/>
    <col min="11" max="16384" width="7" style="156"/>
  </cols>
  <sheetData>
    <row r="1" spans="1:8">
      <c r="H1" s="485" t="s">
        <v>1251</v>
      </c>
    </row>
    <row r="2" spans="1:8">
      <c r="H2" s="485" t="s">
        <v>797</v>
      </c>
    </row>
    <row r="3" spans="1:8">
      <c r="A3" s="1166" t="s">
        <v>4</v>
      </c>
      <c r="B3" s="1166"/>
      <c r="C3" s="1166"/>
      <c r="D3" s="1166"/>
      <c r="E3" s="1166"/>
      <c r="F3" s="1166"/>
      <c r="G3" s="1166"/>
      <c r="H3" s="1166"/>
    </row>
    <row r="4" spans="1:8">
      <c r="A4" s="1166" t="s">
        <v>1252</v>
      </c>
      <c r="B4" s="1166"/>
      <c r="C4" s="1166"/>
      <c r="D4" s="1166"/>
      <c r="E4" s="1166"/>
      <c r="F4" s="1166"/>
      <c r="G4" s="1166"/>
      <c r="H4" s="1166"/>
    </row>
    <row r="5" spans="1:8">
      <c r="A5" s="1166" t="s">
        <v>1427</v>
      </c>
      <c r="B5" s="1166"/>
      <c r="C5" s="1166"/>
      <c r="D5" s="1166"/>
      <c r="E5" s="1166"/>
      <c r="F5" s="1166"/>
      <c r="G5" s="1166"/>
      <c r="H5" s="1166"/>
    </row>
    <row r="6" spans="1:8">
      <c r="A6" s="486"/>
      <c r="B6" s="486"/>
      <c r="C6" s="486"/>
      <c r="D6" s="486"/>
      <c r="E6" s="486"/>
      <c r="F6" s="486"/>
      <c r="G6" s="486"/>
      <c r="H6" s="486"/>
    </row>
    <row r="9" spans="1:8">
      <c r="H9" s="486"/>
    </row>
    <row r="12" spans="1:8" s="159" customFormat="1">
      <c r="A12" s="486"/>
      <c r="B12" s="486"/>
      <c r="C12" s="486"/>
      <c r="D12" s="486"/>
      <c r="E12" s="486"/>
      <c r="F12" s="486"/>
      <c r="G12" s="486"/>
      <c r="H12" s="486"/>
    </row>
    <row r="13" spans="1:8" s="160" customFormat="1">
      <c r="A13" s="1166" t="s">
        <v>1253</v>
      </c>
      <c r="B13" s="1166"/>
      <c r="C13" s="1166"/>
      <c r="D13" s="1166"/>
      <c r="E13" s="1166"/>
      <c r="F13" s="1166"/>
      <c r="G13" s="1166"/>
      <c r="H13" s="1166"/>
    </row>
    <row r="14" spans="1:8">
      <c r="A14" s="486"/>
      <c r="B14" s="486"/>
      <c r="C14" s="486"/>
      <c r="D14" s="486"/>
      <c r="E14" s="486"/>
      <c r="F14" s="486"/>
      <c r="G14" s="486"/>
      <c r="H14" s="486"/>
    </row>
    <row r="15" spans="1:8">
      <c r="A15" s="1166" t="s">
        <v>1254</v>
      </c>
      <c r="B15" s="1166"/>
      <c r="C15" s="1166"/>
      <c r="D15" s="1166"/>
      <c r="E15" s="1166"/>
      <c r="F15" s="1166"/>
      <c r="G15" s="1166"/>
      <c r="H15" s="1166"/>
    </row>
    <row r="26" spans="3:5" s="161" customFormat="1">
      <c r="C26" s="512" t="s">
        <v>826</v>
      </c>
      <c r="E26" s="694" t="s">
        <v>990</v>
      </c>
    </row>
    <row r="27" spans="3:5">
      <c r="C27" s="160" t="s">
        <v>22</v>
      </c>
      <c r="E27" s="486" t="s">
        <v>22</v>
      </c>
    </row>
  </sheetData>
  <mergeCells count="5">
    <mergeCell ref="A3:H3"/>
    <mergeCell ref="A4:H4"/>
    <mergeCell ref="A5:H5"/>
    <mergeCell ref="A13:H13"/>
    <mergeCell ref="A15:H15"/>
  </mergeCells>
  <printOptions horizontalCentered="1"/>
  <pageMargins left="0.7" right="0.7" top="0.75" bottom="0.75" header="0.3" footer="0.3"/>
  <pageSetup fitToHeight="0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C8129-89DD-47A9-8547-B2B3537F5327}">
  <dimension ref="A1:H27"/>
  <sheetViews>
    <sheetView showGridLines="0" zoomScaleNormal="100" zoomScaleSheetLayoutView="100" workbookViewId="0"/>
  </sheetViews>
  <sheetFormatPr defaultColWidth="7" defaultRowHeight="10.199999999999999"/>
  <cols>
    <col min="1" max="1" width="11.5546875" style="156" customWidth="1"/>
    <col min="2" max="2" width="16.6640625" style="156" customWidth="1"/>
    <col min="3" max="3" width="11.5546875" style="156" customWidth="1"/>
    <col min="4" max="4" width="13.88671875" style="156" customWidth="1"/>
    <col min="5" max="8" width="10.109375" style="156" customWidth="1"/>
    <col min="9" max="13" width="7" style="156"/>
    <col min="14" max="14" width="27.44140625" style="156" bestFit="1" customWidth="1"/>
    <col min="15" max="16384" width="7" style="156"/>
  </cols>
  <sheetData>
    <row r="1" spans="1:8">
      <c r="H1" s="485" t="s">
        <v>1201</v>
      </c>
    </row>
    <row r="2" spans="1:8">
      <c r="B2" s="486"/>
      <c r="C2" s="486"/>
      <c r="D2" s="486"/>
      <c r="E2" s="486"/>
      <c r="F2" s="486"/>
      <c r="G2" s="486"/>
      <c r="H2" s="485" t="s">
        <v>797</v>
      </c>
    </row>
    <row r="3" spans="1:8">
      <c r="A3" s="1166" t="s">
        <v>4</v>
      </c>
      <c r="B3" s="1166"/>
      <c r="C3" s="1166"/>
      <c r="D3" s="1166"/>
      <c r="E3" s="1166"/>
      <c r="F3" s="1166"/>
      <c r="G3" s="1166"/>
      <c r="H3" s="1166"/>
    </row>
    <row r="4" spans="1:8">
      <c r="A4" s="1166" t="s">
        <v>1255</v>
      </c>
      <c r="B4" s="1166"/>
      <c r="C4" s="1166"/>
      <c r="D4" s="1166"/>
      <c r="E4" s="1166"/>
      <c r="F4" s="1166"/>
      <c r="G4" s="1166"/>
      <c r="H4" s="1166"/>
    </row>
    <row r="5" spans="1:8">
      <c r="A5" s="1166" t="s">
        <v>1427</v>
      </c>
      <c r="B5" s="1166"/>
      <c r="C5" s="1166"/>
      <c r="D5" s="1166"/>
      <c r="E5" s="1166"/>
      <c r="F5" s="1166"/>
      <c r="G5" s="1166"/>
      <c r="H5" s="1166"/>
    </row>
    <row r="6" spans="1:8">
      <c r="A6" s="486"/>
      <c r="B6" s="486"/>
      <c r="C6" s="486"/>
      <c r="D6" s="486"/>
      <c r="E6" s="486"/>
      <c r="F6" s="486"/>
      <c r="G6" s="486"/>
      <c r="H6" s="486"/>
    </row>
    <row r="7" spans="1:8">
      <c r="A7" s="486"/>
      <c r="B7" s="486"/>
      <c r="C7" s="486"/>
      <c r="D7" s="486"/>
      <c r="E7" s="486"/>
      <c r="F7" s="486"/>
      <c r="G7" s="486"/>
    </row>
    <row r="8" spans="1:8">
      <c r="A8" s="486"/>
      <c r="B8" s="486"/>
      <c r="C8" s="486"/>
      <c r="D8" s="486"/>
      <c r="E8" s="486"/>
      <c r="F8" s="486"/>
      <c r="G8" s="486"/>
    </row>
    <row r="9" spans="1:8">
      <c r="A9" s="486"/>
      <c r="B9" s="486"/>
      <c r="C9" s="486"/>
      <c r="D9" s="486"/>
      <c r="E9" s="486"/>
      <c r="F9" s="486"/>
      <c r="G9" s="486"/>
      <c r="H9" s="486"/>
    </row>
    <row r="10" spans="1:8">
      <c r="A10" s="486"/>
      <c r="B10" s="486"/>
      <c r="C10" s="486"/>
      <c r="D10" s="486"/>
      <c r="E10" s="486"/>
      <c r="F10" s="486"/>
      <c r="G10" s="486"/>
    </row>
    <row r="11" spans="1:8">
      <c r="A11" s="486"/>
      <c r="B11" s="794"/>
      <c r="C11" s="486"/>
      <c r="D11" s="486"/>
      <c r="E11" s="486"/>
      <c r="F11" s="486"/>
      <c r="G11" s="486"/>
    </row>
    <row r="12" spans="1:8">
      <c r="A12" s="486"/>
      <c r="B12" s="486"/>
      <c r="C12" s="486"/>
      <c r="D12" s="486"/>
      <c r="E12" s="486"/>
      <c r="F12" s="486"/>
      <c r="G12" s="486"/>
    </row>
    <row r="13" spans="1:8" s="159" customFormat="1">
      <c r="A13" s="1166" t="s">
        <v>1873</v>
      </c>
      <c r="B13" s="1166"/>
      <c r="C13" s="1166"/>
      <c r="D13" s="1166"/>
      <c r="E13" s="1166"/>
      <c r="F13" s="1166"/>
      <c r="G13" s="1166"/>
      <c r="H13" s="1166"/>
    </row>
    <row r="14" spans="1:8" s="160" customFormat="1">
      <c r="A14" s="486"/>
      <c r="B14" s="486"/>
      <c r="C14" s="486"/>
      <c r="E14" s="486"/>
      <c r="F14" s="486"/>
      <c r="G14" s="486"/>
      <c r="H14" s="486"/>
    </row>
    <row r="15" spans="1:8">
      <c r="A15" s="486"/>
      <c r="B15" s="486"/>
      <c r="C15" s="486"/>
      <c r="D15" s="486"/>
      <c r="E15" s="486"/>
      <c r="F15" s="486"/>
      <c r="G15" s="486"/>
      <c r="H15" s="486"/>
    </row>
    <row r="16" spans="1:8">
      <c r="A16" s="486"/>
      <c r="B16" s="486"/>
      <c r="C16" s="486"/>
      <c r="D16" s="486"/>
      <c r="E16" s="486"/>
      <c r="F16" s="486"/>
      <c r="G16" s="486"/>
      <c r="H16" s="486"/>
    </row>
    <row r="17" spans="1:7">
      <c r="A17" s="486"/>
      <c r="B17" s="486"/>
      <c r="C17" s="486"/>
      <c r="D17" s="486"/>
      <c r="E17" s="486"/>
      <c r="F17" s="486"/>
      <c r="G17" s="486"/>
    </row>
    <row r="25" spans="1:7">
      <c r="A25" s="157"/>
    </row>
    <row r="26" spans="1:7" s="161" customFormat="1">
      <c r="C26" s="512" t="s">
        <v>826</v>
      </c>
      <c r="D26" s="512"/>
      <c r="E26" s="694" t="s">
        <v>990</v>
      </c>
    </row>
    <row r="27" spans="1:7">
      <c r="C27" s="160" t="s">
        <v>22</v>
      </c>
      <c r="D27" s="160"/>
      <c r="E27" s="486" t="s">
        <v>1240</v>
      </c>
    </row>
  </sheetData>
  <mergeCells count="4">
    <mergeCell ref="A13:H13"/>
    <mergeCell ref="A3:H3"/>
    <mergeCell ref="A4:H4"/>
    <mergeCell ref="A5:H5"/>
  </mergeCells>
  <printOptions horizontalCentered="1"/>
  <pageMargins left="0.7" right="0.7" top="0.75" bottom="0.75" header="0.3" footer="0.3"/>
  <pageSetup fitToHeight="0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7644B-AEFA-4305-86A8-77325089A4EA}">
  <sheetPr>
    <tabColor rgb="FFFFFFCC"/>
  </sheetPr>
  <dimension ref="A1:G74"/>
  <sheetViews>
    <sheetView showGridLines="0" zoomScaleNormal="100" zoomScaleSheetLayoutView="100" workbookViewId="0"/>
  </sheetViews>
  <sheetFormatPr defaultColWidth="9.109375" defaultRowHeight="10.199999999999999"/>
  <cols>
    <col min="1" max="1" width="36" style="1059" bestFit="1" customWidth="1"/>
    <col min="2" max="4" width="15.6640625" style="1059" customWidth="1"/>
    <col min="5" max="16384" width="9.109375" style="1059"/>
  </cols>
  <sheetData>
    <row r="1" spans="1:7">
      <c r="D1" s="1058" t="s">
        <v>1256</v>
      </c>
    </row>
    <row r="2" spans="1:7">
      <c r="D2" s="1058" t="s">
        <v>797</v>
      </c>
    </row>
    <row r="3" spans="1:7">
      <c r="A3" s="1202" t="s">
        <v>366</v>
      </c>
      <c r="B3" s="1202"/>
      <c r="C3" s="1202"/>
      <c r="D3" s="1202"/>
    </row>
    <row r="4" spans="1:7">
      <c r="A4" s="1202" t="s">
        <v>1257</v>
      </c>
      <c r="B4" s="1202"/>
      <c r="C4" s="1202"/>
      <c r="D4" s="1202"/>
    </row>
    <row r="5" spans="1:7">
      <c r="A5" s="1201" t="s">
        <v>1781</v>
      </c>
      <c r="B5" s="1165"/>
      <c r="C5" s="1165"/>
      <c r="D5" s="1165"/>
    </row>
    <row r="6" spans="1:7">
      <c r="A6" s="1202" t="s">
        <v>799</v>
      </c>
      <c r="B6" s="1202"/>
      <c r="C6" s="1202"/>
      <c r="D6" s="1202"/>
    </row>
    <row r="7" spans="1:7">
      <c r="A7" s="1057"/>
      <c r="B7" s="1057"/>
      <c r="C7" s="1057"/>
      <c r="D7" s="1057"/>
    </row>
    <row r="8" spans="1:7">
      <c r="A8" s="1060"/>
      <c r="B8" s="1061">
        <v>2024</v>
      </c>
      <c r="C8" s="1061">
        <v>2023</v>
      </c>
      <c r="D8" s="1061">
        <v>2022</v>
      </c>
    </row>
    <row r="9" spans="1:7">
      <c r="A9" s="1060"/>
      <c r="B9" s="1062" t="s">
        <v>1258</v>
      </c>
      <c r="C9" s="1062" t="s">
        <v>430</v>
      </c>
      <c r="D9" s="1062" t="s">
        <v>430</v>
      </c>
    </row>
    <row r="10" spans="1:7">
      <c r="A10" s="1060"/>
      <c r="B10" s="1063"/>
      <c r="C10" s="1063"/>
      <c r="D10" s="1063"/>
    </row>
    <row r="11" spans="1:7">
      <c r="A11" s="1064" t="s">
        <v>1259</v>
      </c>
      <c r="B11" s="1063"/>
      <c r="C11" s="1063"/>
      <c r="D11" s="1063"/>
    </row>
    <row r="12" spans="1:7">
      <c r="A12" s="1064" t="s">
        <v>273</v>
      </c>
      <c r="B12" s="1065">
        <v>608383</v>
      </c>
      <c r="C12" s="1065">
        <v>596977</v>
      </c>
      <c r="D12" s="1065">
        <v>566056</v>
      </c>
      <c r="E12" s="1066"/>
      <c r="F12" s="1066"/>
      <c r="G12" s="1066"/>
    </row>
    <row r="13" spans="1:7">
      <c r="A13" s="1064" t="s">
        <v>1260</v>
      </c>
      <c r="B13" s="1065">
        <v>4459</v>
      </c>
      <c r="C13" s="1065">
        <v>5588</v>
      </c>
      <c r="D13" s="1065">
        <v>5682</v>
      </c>
      <c r="E13" s="1066"/>
      <c r="F13" s="1066"/>
      <c r="G13" s="1066"/>
    </row>
    <row r="14" spans="1:7">
      <c r="A14" s="1064" t="s">
        <v>1261</v>
      </c>
      <c r="B14" s="1065">
        <v>334</v>
      </c>
      <c r="C14" s="1065">
        <v>334</v>
      </c>
      <c r="D14" s="1065">
        <v>334</v>
      </c>
      <c r="E14" s="1066"/>
      <c r="F14" s="1066"/>
      <c r="G14" s="1066"/>
    </row>
    <row r="15" spans="1:7">
      <c r="A15" s="1064" t="s">
        <v>1262</v>
      </c>
      <c r="B15" s="1065">
        <v>2385</v>
      </c>
      <c r="C15" s="1065">
        <v>1779</v>
      </c>
      <c r="D15" s="1065">
        <v>2210</v>
      </c>
      <c r="E15" s="1066"/>
      <c r="F15" s="1066"/>
      <c r="G15" s="1066"/>
    </row>
    <row r="16" spans="1:7">
      <c r="A16" s="1064" t="s">
        <v>1259</v>
      </c>
      <c r="B16" s="1067">
        <v>615561</v>
      </c>
      <c r="C16" s="1067">
        <v>604678</v>
      </c>
      <c r="D16" s="1067">
        <v>574282</v>
      </c>
    </row>
    <row r="17" spans="1:4">
      <c r="A17" s="1064" t="s">
        <v>1263</v>
      </c>
      <c r="B17" s="1065">
        <v>-273305</v>
      </c>
      <c r="C17" s="1065">
        <v>-269751</v>
      </c>
      <c r="D17" s="1065">
        <v>-261006</v>
      </c>
    </row>
    <row r="18" spans="1:4">
      <c r="A18" s="1064" t="s">
        <v>1265</v>
      </c>
      <c r="B18" s="1068">
        <v>342256</v>
      </c>
      <c r="C18" s="1068">
        <v>334927</v>
      </c>
      <c r="D18" s="1068">
        <v>313276</v>
      </c>
    </row>
    <row r="19" spans="1:4">
      <c r="A19" s="1060"/>
      <c r="B19" s="1063"/>
      <c r="C19" s="1063"/>
      <c r="D19" s="1063"/>
    </row>
    <row r="20" spans="1:4">
      <c r="A20" s="1064" t="s">
        <v>1266</v>
      </c>
      <c r="B20" s="1063"/>
      <c r="C20" s="1063"/>
      <c r="D20" s="1063"/>
    </row>
    <row r="21" spans="1:4">
      <c r="A21" s="1064" t="s">
        <v>634</v>
      </c>
      <c r="B21" s="1065">
        <v>492</v>
      </c>
      <c r="C21" s="1065">
        <v>680</v>
      </c>
      <c r="D21" s="1065">
        <v>6866</v>
      </c>
    </row>
    <row r="22" spans="1:4">
      <c r="A22" s="1064" t="s">
        <v>433</v>
      </c>
      <c r="B22" s="1068">
        <v>492</v>
      </c>
      <c r="C22" s="1068">
        <v>680</v>
      </c>
      <c r="D22" s="1068">
        <v>6866</v>
      </c>
    </row>
    <row r="23" spans="1:4">
      <c r="A23" s="1060"/>
      <c r="B23" s="1063"/>
      <c r="C23" s="1063"/>
      <c r="D23" s="1063"/>
    </row>
    <row r="24" spans="1:4">
      <c r="A24" s="1064" t="s">
        <v>1267</v>
      </c>
      <c r="B24" s="1063"/>
      <c r="C24" s="1063"/>
      <c r="D24" s="1063"/>
    </row>
    <row r="25" spans="1:4">
      <c r="A25" s="1064" t="s">
        <v>1268</v>
      </c>
      <c r="B25" s="1065">
        <v>13453</v>
      </c>
      <c r="C25" s="1065">
        <v>5161</v>
      </c>
      <c r="D25" s="1065">
        <v>14449</v>
      </c>
    </row>
    <row r="26" spans="1:4">
      <c r="A26" s="1064" t="s">
        <v>1269</v>
      </c>
      <c r="B26" s="1065">
        <v>279</v>
      </c>
      <c r="C26" s="1065">
        <v>180</v>
      </c>
      <c r="D26" s="1065">
        <v>134</v>
      </c>
    </row>
    <row r="27" spans="1:4">
      <c r="A27" s="1064" t="s">
        <v>1270</v>
      </c>
      <c r="B27" s="1065">
        <v>5885</v>
      </c>
      <c r="C27" s="1065">
        <v>11580</v>
      </c>
      <c r="D27" s="1065">
        <v>13156</v>
      </c>
    </row>
    <row r="28" spans="1:4">
      <c r="A28" s="1064" t="s">
        <v>1271</v>
      </c>
      <c r="B28" s="1065">
        <v>425</v>
      </c>
      <c r="C28" s="1065">
        <v>368</v>
      </c>
      <c r="D28" s="1065">
        <v>17572</v>
      </c>
    </row>
    <row r="29" spans="1:4">
      <c r="A29" s="1064" t="s">
        <v>1272</v>
      </c>
      <c r="B29" s="1065">
        <v>-381</v>
      </c>
      <c r="C29" s="1065">
        <v>-428</v>
      </c>
      <c r="D29" s="1065">
        <v>-374</v>
      </c>
    </row>
    <row r="30" spans="1:4">
      <c r="A30" s="1064" t="s">
        <v>1273</v>
      </c>
      <c r="B30" s="1065">
        <v>3692</v>
      </c>
      <c r="C30" s="1065">
        <v>11418</v>
      </c>
      <c r="D30" s="1065">
        <v>12900</v>
      </c>
    </row>
    <row r="31" spans="1:4">
      <c r="A31" s="1064" t="s">
        <v>1274</v>
      </c>
      <c r="B31" s="1065">
        <v>711</v>
      </c>
      <c r="C31" s="1065">
        <v>1745</v>
      </c>
      <c r="D31" s="1065">
        <v>6830</v>
      </c>
    </row>
    <row r="32" spans="1:4">
      <c r="A32" s="1064" t="s">
        <v>1275</v>
      </c>
      <c r="B32" s="1065">
        <v>2758</v>
      </c>
      <c r="C32" s="1065">
        <v>2613</v>
      </c>
      <c r="D32" s="1065">
        <v>2074</v>
      </c>
    </row>
    <row r="33" spans="1:4">
      <c r="A33" s="1064" t="s">
        <v>26</v>
      </c>
      <c r="B33" s="1065">
        <v>188</v>
      </c>
      <c r="C33" s="1065">
        <v>552</v>
      </c>
      <c r="D33" s="1065">
        <v>490</v>
      </c>
    </row>
    <row r="34" spans="1:4">
      <c r="A34" s="1064" t="s">
        <v>634</v>
      </c>
      <c r="B34" s="1065">
        <v>3279</v>
      </c>
      <c r="C34" s="1065">
        <v>2740</v>
      </c>
      <c r="D34" s="1065">
        <v>64568</v>
      </c>
    </row>
    <row r="35" spans="1:4">
      <c r="A35" s="1064" t="s">
        <v>1267</v>
      </c>
      <c r="B35" s="1068">
        <v>30289</v>
      </c>
      <c r="C35" s="1068">
        <v>35929</v>
      </c>
      <c r="D35" s="1068">
        <v>131799</v>
      </c>
    </row>
    <row r="36" spans="1:4">
      <c r="A36" s="1060"/>
      <c r="B36" s="1063"/>
      <c r="C36" s="1063"/>
      <c r="D36" s="1063"/>
    </row>
    <row r="37" spans="1:4">
      <c r="A37" s="1064" t="s">
        <v>1276</v>
      </c>
      <c r="B37" s="1063"/>
      <c r="C37" s="1063"/>
      <c r="D37" s="1063"/>
    </row>
    <row r="38" spans="1:4">
      <c r="A38" s="1064" t="s">
        <v>1277</v>
      </c>
      <c r="B38" s="1065">
        <v>1095</v>
      </c>
      <c r="C38" s="1065">
        <v>1208</v>
      </c>
      <c r="D38" s="1065">
        <v>1384</v>
      </c>
    </row>
    <row r="39" spans="1:4">
      <c r="A39" s="1064" t="s">
        <v>1278</v>
      </c>
      <c r="B39" s="1065">
        <v>833</v>
      </c>
      <c r="C39" s="1065">
        <v>545</v>
      </c>
      <c r="D39" s="1065">
        <v>624</v>
      </c>
    </row>
    <row r="40" spans="1:4">
      <c r="A40" s="1064" t="s">
        <v>5</v>
      </c>
      <c r="B40" s="1065">
        <v>13744</v>
      </c>
      <c r="C40" s="1065">
        <v>13999</v>
      </c>
      <c r="D40" s="1065">
        <v>14477</v>
      </c>
    </row>
    <row r="41" spans="1:4">
      <c r="A41" s="1064" t="s">
        <v>634</v>
      </c>
      <c r="B41" s="1065">
        <v>12747</v>
      </c>
      <c r="C41" s="1065">
        <v>22829</v>
      </c>
      <c r="D41" s="1065">
        <v>4972</v>
      </c>
    </row>
    <row r="42" spans="1:4">
      <c r="A42" s="1064" t="s">
        <v>1276</v>
      </c>
      <c r="B42" s="1068">
        <v>28419</v>
      </c>
      <c r="C42" s="1068">
        <v>38581</v>
      </c>
      <c r="D42" s="1068">
        <v>21457</v>
      </c>
    </row>
    <row r="43" spans="1:4">
      <c r="A43" s="1060"/>
      <c r="B43" s="1063"/>
      <c r="C43" s="1063"/>
      <c r="D43" s="1063"/>
    </row>
    <row r="44" spans="1:4" ht="10.8" thickBot="1">
      <c r="A44" s="1064" t="s">
        <v>1279</v>
      </c>
      <c r="B44" s="1069">
        <v>401456</v>
      </c>
      <c r="C44" s="1069">
        <v>410116</v>
      </c>
      <c r="D44" s="1069">
        <v>473398</v>
      </c>
    </row>
    <row r="45" spans="1:4" ht="10.8" thickTop="1">
      <c r="A45" s="1060"/>
      <c r="B45" s="1063"/>
      <c r="C45" s="1063"/>
      <c r="D45" s="1063"/>
    </row>
    <row r="46" spans="1:4">
      <c r="A46" s="1064" t="s">
        <v>894</v>
      </c>
      <c r="B46" s="1063"/>
      <c r="C46" s="1063"/>
      <c r="D46" s="1063"/>
    </row>
    <row r="47" spans="1:4">
      <c r="A47" s="1064" t="s">
        <v>1280</v>
      </c>
      <c r="B47" s="1065">
        <v>67978</v>
      </c>
      <c r="C47" s="1065">
        <v>67978</v>
      </c>
      <c r="D47" s="1065">
        <v>67978</v>
      </c>
    </row>
    <row r="48" spans="1:4">
      <c r="A48" s="1064" t="s">
        <v>1281</v>
      </c>
      <c r="B48" s="1065">
        <v>87131</v>
      </c>
      <c r="C48" s="1065">
        <v>80177</v>
      </c>
      <c r="D48" s="1065">
        <v>74151</v>
      </c>
    </row>
    <row r="49" spans="1:4">
      <c r="A49" s="1064" t="s">
        <v>1282</v>
      </c>
      <c r="B49" s="1067">
        <v>155109</v>
      </c>
      <c r="C49" s="1067">
        <v>148155</v>
      </c>
      <c r="D49" s="1067">
        <v>142129</v>
      </c>
    </row>
    <row r="50" spans="1:4">
      <c r="A50" s="1064" t="s">
        <v>1283</v>
      </c>
      <c r="B50" s="1065">
        <v>2048</v>
      </c>
      <c r="C50" s="1065">
        <v>1524</v>
      </c>
      <c r="D50" s="1065">
        <v>1852</v>
      </c>
    </row>
    <row r="51" spans="1:4">
      <c r="A51" s="1064" t="s">
        <v>1284</v>
      </c>
      <c r="B51" s="1065">
        <v>125000</v>
      </c>
      <c r="C51" s="1065">
        <v>95000</v>
      </c>
      <c r="D51" s="1065">
        <v>95000</v>
      </c>
    </row>
    <row r="52" spans="1:4">
      <c r="A52" s="1064" t="s">
        <v>894</v>
      </c>
      <c r="B52" s="1068">
        <v>282157</v>
      </c>
      <c r="C52" s="1068">
        <v>244679</v>
      </c>
      <c r="D52" s="1068">
        <v>238981</v>
      </c>
    </row>
    <row r="53" spans="1:4">
      <c r="A53" s="1060"/>
      <c r="B53" s="1063"/>
      <c r="C53" s="1063"/>
      <c r="D53" s="1063"/>
    </row>
    <row r="54" spans="1:4">
      <c r="A54" s="1064" t="s">
        <v>1285</v>
      </c>
      <c r="B54" s="1063"/>
      <c r="C54" s="1063"/>
      <c r="D54" s="1063"/>
    </row>
    <row r="55" spans="1:4">
      <c r="A55" s="1064" t="s">
        <v>1286</v>
      </c>
      <c r="B55" s="1065">
        <v>408</v>
      </c>
      <c r="C55" s="1065">
        <v>328</v>
      </c>
      <c r="D55" s="1065">
        <v>410</v>
      </c>
    </row>
    <row r="56" spans="1:4">
      <c r="A56" s="1064" t="s">
        <v>1287</v>
      </c>
      <c r="B56" s="1065">
        <v>5847</v>
      </c>
      <c r="C56" s="1065">
        <v>14776</v>
      </c>
      <c r="D56" s="1065">
        <v>34357</v>
      </c>
    </row>
    <row r="57" spans="1:4">
      <c r="A57" s="1064" t="s">
        <v>1288</v>
      </c>
      <c r="B57" s="1065">
        <v>1828</v>
      </c>
      <c r="C57" s="1065">
        <v>1914</v>
      </c>
      <c r="D57" s="1065">
        <v>2772</v>
      </c>
    </row>
    <row r="58" spans="1:4">
      <c r="A58" s="1064" t="s">
        <v>1289</v>
      </c>
      <c r="B58" s="1065">
        <v>0</v>
      </c>
      <c r="C58" s="1065">
        <v>29000</v>
      </c>
      <c r="D58" s="1065">
        <v>17000</v>
      </c>
    </row>
    <row r="59" spans="1:4">
      <c r="A59" s="1064" t="s">
        <v>1290</v>
      </c>
      <c r="B59" s="1065">
        <v>1844</v>
      </c>
      <c r="C59" s="1065">
        <v>1829</v>
      </c>
      <c r="D59" s="1065">
        <v>1772</v>
      </c>
    </row>
    <row r="60" spans="1:4">
      <c r="A60" s="1064" t="s">
        <v>1291</v>
      </c>
      <c r="B60" s="1065">
        <v>2996</v>
      </c>
      <c r="C60" s="1065">
        <v>2189</v>
      </c>
      <c r="D60" s="1065">
        <v>2226</v>
      </c>
    </row>
    <row r="61" spans="1:4">
      <c r="A61" s="1064" t="s">
        <v>30</v>
      </c>
      <c r="B61" s="1065">
        <v>1599</v>
      </c>
      <c r="C61" s="1065">
        <v>1392</v>
      </c>
      <c r="D61" s="1065">
        <v>1119</v>
      </c>
    </row>
    <row r="62" spans="1:4">
      <c r="A62" s="1064" t="s">
        <v>634</v>
      </c>
      <c r="B62" s="1065">
        <v>12297</v>
      </c>
      <c r="C62" s="1065">
        <v>21251</v>
      </c>
      <c r="D62" s="1065">
        <v>26591</v>
      </c>
    </row>
    <row r="63" spans="1:4">
      <c r="A63" s="1064" t="s">
        <v>1285</v>
      </c>
      <c r="B63" s="1068">
        <v>26819</v>
      </c>
      <c r="C63" s="1068">
        <v>72679</v>
      </c>
      <c r="D63" s="1068">
        <v>86247</v>
      </c>
    </row>
    <row r="65" spans="1:4">
      <c r="A65" s="1064" t="s">
        <v>1292</v>
      </c>
      <c r="B65" s="1063"/>
      <c r="C65" s="1063"/>
      <c r="D65" s="1063"/>
    </row>
    <row r="66" spans="1:4">
      <c r="A66" s="1064" t="s">
        <v>29</v>
      </c>
      <c r="B66" s="1065">
        <v>5446</v>
      </c>
      <c r="C66" s="1065">
        <v>5129</v>
      </c>
      <c r="D66" s="1065">
        <v>5043</v>
      </c>
    </row>
    <row r="67" spans="1:4">
      <c r="A67" s="1064" t="s">
        <v>5</v>
      </c>
      <c r="B67" s="1065">
        <v>50642</v>
      </c>
      <c r="C67" s="1065">
        <v>50571</v>
      </c>
      <c r="D67" s="1065">
        <v>49924</v>
      </c>
    </row>
    <row r="68" spans="1:4">
      <c r="A68" s="1064" t="s">
        <v>634</v>
      </c>
      <c r="B68" s="1065">
        <v>36392</v>
      </c>
      <c r="C68" s="1065">
        <v>37058</v>
      </c>
      <c r="D68" s="1065">
        <v>93203</v>
      </c>
    </row>
    <row r="69" spans="1:4">
      <c r="A69" s="1064" t="s">
        <v>1292</v>
      </c>
      <c r="B69" s="1068">
        <v>92480</v>
      </c>
      <c r="C69" s="1068">
        <v>92758</v>
      </c>
      <c r="D69" s="1068">
        <v>148170</v>
      </c>
    </row>
    <row r="70" spans="1:4">
      <c r="A70" s="1060"/>
      <c r="B70" s="1063"/>
      <c r="C70" s="1063"/>
      <c r="D70" s="1063"/>
    </row>
    <row r="71" spans="1:4" ht="10.8" thickBot="1">
      <c r="A71" s="1064" t="s">
        <v>1293</v>
      </c>
      <c r="B71" s="1070">
        <v>401456</v>
      </c>
      <c r="C71" s="1070">
        <v>410116</v>
      </c>
      <c r="D71" s="1070">
        <v>473398</v>
      </c>
    </row>
    <row r="72" spans="1:4" ht="10.8" thickTop="1">
      <c r="A72" s="1060"/>
      <c r="B72" s="1063"/>
      <c r="C72" s="1063"/>
      <c r="D72" s="1063"/>
    </row>
    <row r="73" spans="1:4">
      <c r="A73" s="1071" t="s">
        <v>826</v>
      </c>
      <c r="B73" s="1072"/>
      <c r="C73" s="1072"/>
      <c r="D73" s="1071" t="s">
        <v>990</v>
      </c>
    </row>
    <row r="74" spans="1:4">
      <c r="A74" s="1061" t="s">
        <v>1294</v>
      </c>
      <c r="B74" s="1072"/>
      <c r="C74" s="1072"/>
      <c r="D74" s="1061" t="s">
        <v>1239</v>
      </c>
    </row>
  </sheetData>
  <mergeCells count="4">
    <mergeCell ref="A5:D5"/>
    <mergeCell ref="A6:D6"/>
    <mergeCell ref="A3:D3"/>
    <mergeCell ref="A4:D4"/>
  </mergeCells>
  <printOptions horizontalCentered="1"/>
  <pageMargins left="0.45" right="0.45" top="0.45" bottom="0.45" header="0.3" footer="0.3"/>
  <pageSetup scale="8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6E29B-B71D-459F-90AB-7EC2AE292ECD}">
  <sheetPr>
    <tabColor rgb="FFFFFFCC"/>
  </sheetPr>
  <dimension ref="A1:G44"/>
  <sheetViews>
    <sheetView showGridLines="0" zoomScaleNormal="100" zoomScaleSheetLayoutView="100" workbookViewId="0"/>
  </sheetViews>
  <sheetFormatPr defaultColWidth="9.109375" defaultRowHeight="10.199999999999999"/>
  <cols>
    <col min="1" max="1" width="36" style="1059" customWidth="1"/>
    <col min="2" max="4" width="15.6640625" style="1059" customWidth="1"/>
    <col min="5" max="16384" width="9.109375" style="1059"/>
  </cols>
  <sheetData>
    <row r="1" spans="1:7">
      <c r="D1" s="1058" t="s">
        <v>1295</v>
      </c>
    </row>
    <row r="2" spans="1:7">
      <c r="D2" s="1058" t="s">
        <v>797</v>
      </c>
    </row>
    <row r="3" spans="1:7">
      <c r="A3" s="1202" t="s">
        <v>366</v>
      </c>
      <c r="B3" s="1202"/>
      <c r="C3" s="1202"/>
      <c r="D3" s="1202"/>
    </row>
    <row r="4" spans="1:7">
      <c r="A4" s="1202" t="s">
        <v>1296</v>
      </c>
      <c r="B4" s="1202"/>
      <c r="C4" s="1202"/>
      <c r="D4" s="1202"/>
    </row>
    <row r="5" spans="1:7">
      <c r="A5" s="1201" t="s">
        <v>1781</v>
      </c>
      <c r="B5" s="1201"/>
      <c r="C5" s="1201"/>
      <c r="D5" s="1201"/>
    </row>
    <row r="6" spans="1:7">
      <c r="A6" s="1202" t="s">
        <v>799</v>
      </c>
      <c r="B6" s="1202"/>
      <c r="C6" s="1202"/>
      <c r="D6" s="1202"/>
    </row>
    <row r="7" spans="1:7">
      <c r="A7" s="1057"/>
      <c r="B7" s="1057"/>
      <c r="C7" s="1057"/>
      <c r="D7" s="1057"/>
    </row>
    <row r="8" spans="1:7">
      <c r="A8" s="1060"/>
      <c r="B8" s="1061" t="s">
        <v>1258</v>
      </c>
      <c r="C8" s="1203" t="s">
        <v>1297</v>
      </c>
      <c r="D8" s="1203"/>
    </row>
    <row r="9" spans="1:7">
      <c r="A9" s="1078" t="s">
        <v>0</v>
      </c>
      <c r="B9" s="1062">
        <v>2024</v>
      </c>
      <c r="C9" s="1062">
        <v>2023</v>
      </c>
      <c r="D9" s="1062">
        <v>2022</v>
      </c>
    </row>
    <row r="10" spans="1:7">
      <c r="A10" s="1073"/>
      <c r="B10" s="1074"/>
      <c r="C10" s="1074"/>
      <c r="D10" s="1074"/>
    </row>
    <row r="11" spans="1:7">
      <c r="A11" s="1064" t="s">
        <v>1298</v>
      </c>
      <c r="B11" s="1063"/>
      <c r="C11" s="1063"/>
      <c r="D11" s="1063"/>
    </row>
    <row r="12" spans="1:7">
      <c r="A12" s="1064" t="s">
        <v>1436</v>
      </c>
      <c r="B12" s="1065">
        <v>117648</v>
      </c>
      <c r="C12" s="1065">
        <v>130211</v>
      </c>
      <c r="D12" s="1065">
        <v>122886</v>
      </c>
      <c r="E12" s="1066"/>
      <c r="F12" s="1066"/>
      <c r="G12" s="1066"/>
    </row>
    <row r="13" spans="1:7">
      <c r="A13" s="1064" t="s">
        <v>322</v>
      </c>
      <c r="B13" s="1065">
        <v>371</v>
      </c>
      <c r="C13" s="1065">
        <v>192</v>
      </c>
      <c r="D13" s="1065">
        <v>130</v>
      </c>
      <c r="E13" s="1066"/>
      <c r="F13" s="1066"/>
      <c r="G13" s="1066"/>
    </row>
    <row r="14" spans="1:7">
      <c r="A14" s="1064" t="s">
        <v>59</v>
      </c>
      <c r="B14" s="1065">
        <v>8142</v>
      </c>
      <c r="C14" s="1065">
        <v>9014</v>
      </c>
      <c r="D14" s="1065">
        <v>7835</v>
      </c>
      <c r="E14" s="1066"/>
      <c r="F14" s="1066"/>
      <c r="G14" s="1066"/>
    </row>
    <row r="15" spans="1:7">
      <c r="A15" s="1064" t="s">
        <v>244</v>
      </c>
      <c r="B15" s="1068">
        <v>126161</v>
      </c>
      <c r="C15" s="1068">
        <v>139417</v>
      </c>
      <c r="D15" s="1068">
        <v>130851</v>
      </c>
      <c r="E15" s="1066"/>
      <c r="F15" s="1066"/>
      <c r="G15" s="1066"/>
    </row>
    <row r="17" spans="1:4">
      <c r="A17" s="1064" t="s">
        <v>1299</v>
      </c>
      <c r="B17" s="1063"/>
      <c r="C17" s="1063"/>
      <c r="D17" s="1063"/>
    </row>
    <row r="18" spans="1:4">
      <c r="A18" s="1064" t="s">
        <v>1783</v>
      </c>
      <c r="B18" s="1065">
        <v>60226</v>
      </c>
      <c r="C18" s="1065">
        <v>70876</v>
      </c>
      <c r="D18" s="1065">
        <v>64635</v>
      </c>
    </row>
    <row r="19" spans="1:4">
      <c r="A19" s="1064" t="s">
        <v>337</v>
      </c>
      <c r="B19" s="1065">
        <v>28733</v>
      </c>
      <c r="C19" s="1065">
        <v>27523</v>
      </c>
      <c r="D19" s="1065">
        <v>25241</v>
      </c>
    </row>
    <row r="20" spans="1:4">
      <c r="A20" s="1064" t="s">
        <v>50</v>
      </c>
      <c r="B20" s="1075">
        <v>16665</v>
      </c>
      <c r="C20" s="1065">
        <v>16252</v>
      </c>
      <c r="D20" s="1065">
        <v>15719</v>
      </c>
    </row>
    <row r="21" spans="1:4">
      <c r="A21" s="1064" t="s">
        <v>338</v>
      </c>
      <c r="B21" s="1065">
        <v>5159</v>
      </c>
      <c r="C21" s="1065">
        <v>5025</v>
      </c>
      <c r="D21" s="1065">
        <v>5034</v>
      </c>
    </row>
    <row r="22" spans="1:4">
      <c r="A22" s="1064" t="s">
        <v>8</v>
      </c>
      <c r="B22" s="1065">
        <v>2063</v>
      </c>
      <c r="C22" s="1065">
        <v>3380</v>
      </c>
      <c r="D22" s="1065">
        <v>3429</v>
      </c>
    </row>
    <row r="23" spans="1:4">
      <c r="A23" s="1064" t="s">
        <v>154</v>
      </c>
      <c r="B23" s="1068">
        <v>112846</v>
      </c>
      <c r="C23" s="1068">
        <v>123056</v>
      </c>
      <c r="D23" s="1068">
        <v>114058</v>
      </c>
    </row>
    <row r="24" spans="1:4">
      <c r="A24" s="1060"/>
      <c r="B24" s="1063"/>
      <c r="C24" s="1063"/>
      <c r="D24" s="1063"/>
    </row>
    <row r="25" spans="1:4">
      <c r="A25" s="1064" t="s">
        <v>329</v>
      </c>
      <c r="B25" s="1076">
        <v>13315</v>
      </c>
      <c r="C25" s="1076">
        <v>16361</v>
      </c>
      <c r="D25" s="1076">
        <v>16793</v>
      </c>
    </row>
    <row r="26" spans="1:4">
      <c r="A26" s="1060"/>
      <c r="B26" s="1063"/>
      <c r="C26" s="1063"/>
      <c r="D26" s="1063"/>
    </row>
    <row r="27" spans="1:4">
      <c r="A27" s="1064" t="s">
        <v>1139</v>
      </c>
      <c r="B27" s="1063"/>
      <c r="C27" s="1063"/>
      <c r="D27" s="1063"/>
    </row>
    <row r="28" spans="1:4">
      <c r="A28" s="1064" t="s">
        <v>1137</v>
      </c>
      <c r="B28" s="1065">
        <v>-2</v>
      </c>
      <c r="C28" s="1065">
        <v>8</v>
      </c>
      <c r="D28" s="1065"/>
    </row>
    <row r="29" spans="1:4">
      <c r="A29" s="1064" t="s">
        <v>1138</v>
      </c>
      <c r="B29" s="1065">
        <v>-222</v>
      </c>
      <c r="C29" s="1065">
        <v>349</v>
      </c>
      <c r="D29" s="1065">
        <v>122</v>
      </c>
    </row>
    <row r="30" spans="1:4">
      <c r="A30" s="1064" t="s">
        <v>1139</v>
      </c>
      <c r="B30" s="1068">
        <v>-224</v>
      </c>
      <c r="C30" s="1068">
        <v>357</v>
      </c>
      <c r="D30" s="1068">
        <v>122</v>
      </c>
    </row>
    <row r="32" spans="1:4">
      <c r="A32" s="1064" t="s">
        <v>858</v>
      </c>
      <c r="B32" s="1065">
        <v>13091</v>
      </c>
      <c r="C32" s="1065">
        <v>16718</v>
      </c>
      <c r="D32" s="1065">
        <v>16915</v>
      </c>
    </row>
    <row r="33" spans="1:4">
      <c r="A33" s="1060"/>
      <c r="B33" s="1063"/>
      <c r="C33" s="1063"/>
      <c r="D33" s="1063"/>
    </row>
    <row r="34" spans="1:4">
      <c r="A34" s="1064" t="s">
        <v>859</v>
      </c>
      <c r="B34" s="1063"/>
      <c r="C34" s="1063"/>
      <c r="D34" s="1063"/>
    </row>
    <row r="35" spans="1:4">
      <c r="A35" s="1064" t="s">
        <v>1300</v>
      </c>
      <c r="B35" s="1065">
        <v>4556</v>
      </c>
      <c r="C35" s="1065">
        <v>4495</v>
      </c>
      <c r="D35" s="1065">
        <v>4496</v>
      </c>
    </row>
    <row r="36" spans="1:4">
      <c r="A36" s="1064" t="s">
        <v>1301</v>
      </c>
      <c r="B36" s="1065">
        <v>1462</v>
      </c>
      <c r="C36" s="1065">
        <v>1063</v>
      </c>
      <c r="D36" s="1065">
        <v>415</v>
      </c>
    </row>
    <row r="37" spans="1:4">
      <c r="A37" s="1064" t="s">
        <v>1142</v>
      </c>
      <c r="B37" s="1065">
        <v>318</v>
      </c>
      <c r="C37" s="1065">
        <v>362</v>
      </c>
      <c r="D37" s="1065">
        <v>190</v>
      </c>
    </row>
    <row r="38" spans="1:4">
      <c r="A38" s="1064" t="s">
        <v>1302</v>
      </c>
      <c r="B38" s="1065">
        <v>-188</v>
      </c>
      <c r="C38" s="1065">
        <v>-228</v>
      </c>
      <c r="D38" s="1065">
        <v>-170</v>
      </c>
    </row>
    <row r="39" spans="1:4">
      <c r="A39" s="1064" t="s">
        <v>1144</v>
      </c>
      <c r="B39" s="1068">
        <v>6148</v>
      </c>
      <c r="C39" s="1068">
        <v>5692</v>
      </c>
      <c r="D39" s="1068">
        <v>4931</v>
      </c>
    </row>
    <row r="40" spans="1:4">
      <c r="A40" s="1060"/>
      <c r="B40" s="1063"/>
      <c r="C40" s="1063"/>
      <c r="D40" s="1063"/>
    </row>
    <row r="41" spans="1:4" ht="10.8" thickBot="1">
      <c r="A41" s="1064" t="s">
        <v>1147</v>
      </c>
      <c r="B41" s="1077">
        <v>6943</v>
      </c>
      <c r="C41" s="1077">
        <v>11026</v>
      </c>
      <c r="D41" s="1077">
        <v>11984</v>
      </c>
    </row>
    <row r="42" spans="1:4" ht="10.8" thickTop="1">
      <c r="A42" s="1060"/>
      <c r="B42" s="1063"/>
      <c r="C42" s="1063"/>
      <c r="D42" s="1063"/>
    </row>
    <row r="43" spans="1:4">
      <c r="A43" s="1071" t="s">
        <v>1303</v>
      </c>
      <c r="B43" s="1072"/>
      <c r="C43" s="1072"/>
      <c r="D43" s="1071" t="s">
        <v>1304</v>
      </c>
    </row>
    <row r="44" spans="1:4">
      <c r="A44" s="1061" t="s">
        <v>1305</v>
      </c>
      <c r="B44" s="1072"/>
      <c r="C44" s="1072"/>
      <c r="D44" s="1061" t="s">
        <v>1149</v>
      </c>
    </row>
  </sheetData>
  <mergeCells count="5">
    <mergeCell ref="A5:D5"/>
    <mergeCell ref="A6:D6"/>
    <mergeCell ref="C8:D8"/>
    <mergeCell ref="A3:D3"/>
    <mergeCell ref="A4:D4"/>
  </mergeCells>
  <printOptions horizontalCentered="1"/>
  <pageMargins left="0.7" right="0.7" top="0.75" bottom="0.75" header="0.3" footer="0.3"/>
  <pageSetup fitToHeight="0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F6997-BD46-45C1-9AEC-05848363857B}">
  <sheetPr>
    <tabColor rgb="FFFFFFCC"/>
  </sheetPr>
  <dimension ref="A1:H51"/>
  <sheetViews>
    <sheetView showGridLines="0" zoomScaleNormal="100" zoomScaleSheetLayoutView="90" workbookViewId="0"/>
  </sheetViews>
  <sheetFormatPr defaultColWidth="9.109375" defaultRowHeight="10.199999999999999"/>
  <cols>
    <col min="1" max="1" width="42.44140625" style="1059" bestFit="1" customWidth="1"/>
    <col min="2" max="4" width="15.6640625" style="1059" customWidth="1"/>
    <col min="5" max="8" width="4" style="1059" customWidth="1"/>
    <col min="9" max="16384" width="9.109375" style="1059"/>
  </cols>
  <sheetData>
    <row r="1" spans="1:8">
      <c r="D1" s="1079" t="s">
        <v>1306</v>
      </c>
    </row>
    <row r="2" spans="1:8">
      <c r="D2" s="1079" t="s">
        <v>797</v>
      </c>
    </row>
    <row r="3" spans="1:8">
      <c r="A3" s="1205" t="s">
        <v>4</v>
      </c>
      <c r="B3" s="1205"/>
      <c r="C3" s="1205"/>
      <c r="D3" s="1205"/>
    </row>
    <row r="4" spans="1:8">
      <c r="A4" s="1206" t="s">
        <v>1307</v>
      </c>
      <c r="B4" s="1206"/>
      <c r="C4" s="1206"/>
      <c r="D4" s="1206"/>
    </row>
    <row r="5" spans="1:8">
      <c r="A5" s="1206" t="s">
        <v>1781</v>
      </c>
      <c r="B5" s="1206"/>
      <c r="C5" s="1206"/>
      <c r="D5" s="1206"/>
    </row>
    <row r="6" spans="1:8">
      <c r="A6" s="1207" t="s">
        <v>799</v>
      </c>
      <c r="B6" s="1207"/>
      <c r="C6" s="1207"/>
      <c r="D6" s="1207"/>
    </row>
    <row r="7" spans="1:8">
      <c r="A7" s="1204"/>
      <c r="B7" s="1204"/>
      <c r="C7" s="1204"/>
      <c r="D7" s="1204"/>
      <c r="E7" s="1204"/>
      <c r="F7" s="1204"/>
      <c r="G7" s="1204"/>
      <c r="H7" s="1204"/>
    </row>
    <row r="8" spans="1:8">
      <c r="A8" s="1073"/>
      <c r="B8" s="1061">
        <v>2024</v>
      </c>
      <c r="C8" s="1061">
        <v>2023</v>
      </c>
      <c r="D8" s="1061">
        <v>2022</v>
      </c>
    </row>
    <row r="9" spans="1:8">
      <c r="A9" s="1073"/>
      <c r="B9" s="1086" t="s">
        <v>1258</v>
      </c>
      <c r="C9" s="1086" t="s">
        <v>430</v>
      </c>
      <c r="D9" s="1086" t="s">
        <v>430</v>
      </c>
    </row>
    <row r="10" spans="1:8">
      <c r="A10" s="1073"/>
      <c r="B10" s="1074"/>
      <c r="C10" s="1074"/>
      <c r="D10" s="1074"/>
    </row>
    <row r="11" spans="1:8">
      <c r="A11" s="1064" t="s">
        <v>1308</v>
      </c>
      <c r="B11" s="1074"/>
      <c r="C11" s="1074"/>
      <c r="D11" s="1074"/>
    </row>
    <row r="12" spans="1:8">
      <c r="A12" s="1064" t="s">
        <v>860</v>
      </c>
      <c r="B12" s="1065">
        <v>6943</v>
      </c>
      <c r="C12" s="1065">
        <v>11026</v>
      </c>
      <c r="D12" s="1065">
        <v>11984</v>
      </c>
    </row>
    <row r="13" spans="1:8">
      <c r="A13" s="1064" t="s">
        <v>1309</v>
      </c>
      <c r="B13" s="1063"/>
      <c r="C13" s="1063"/>
      <c r="D13" s="1063"/>
    </row>
    <row r="14" spans="1:8">
      <c r="A14" s="1064" t="s">
        <v>1310</v>
      </c>
      <c r="B14" s="1063"/>
      <c r="C14" s="1063"/>
      <c r="D14" s="1063"/>
    </row>
    <row r="15" spans="1:8">
      <c r="A15" s="1080" t="s">
        <v>1311</v>
      </c>
      <c r="B15" s="1065">
        <v>13578</v>
      </c>
      <c r="C15" s="1065">
        <v>13130</v>
      </c>
      <c r="D15" s="1065">
        <v>12289</v>
      </c>
    </row>
    <row r="16" spans="1:8">
      <c r="A16" s="1080" t="s">
        <v>1312</v>
      </c>
      <c r="B16" s="1065">
        <v>108</v>
      </c>
      <c r="C16" s="1065">
        <v>146</v>
      </c>
      <c r="D16" s="1065">
        <v>96</v>
      </c>
    </row>
    <row r="17" spans="1:4">
      <c r="A17" s="1080" t="s">
        <v>1313</v>
      </c>
      <c r="B17" s="1065">
        <v>339</v>
      </c>
      <c r="C17" s="1065">
        <v>583</v>
      </c>
      <c r="D17" s="1065">
        <v>-75</v>
      </c>
    </row>
    <row r="18" spans="1:4">
      <c r="A18" s="1080" t="s">
        <v>1314</v>
      </c>
      <c r="B18" s="1065">
        <v>779</v>
      </c>
      <c r="C18" s="1065">
        <v>779</v>
      </c>
      <c r="D18" s="1065">
        <v>766</v>
      </c>
    </row>
    <row r="19" spans="1:4">
      <c r="A19" s="1080" t="s">
        <v>1315</v>
      </c>
      <c r="B19" s="1065">
        <v>-641</v>
      </c>
      <c r="C19" s="1065">
        <v>-557</v>
      </c>
      <c r="D19" s="1065">
        <v>-2145</v>
      </c>
    </row>
    <row r="20" spans="1:4">
      <c r="A20" s="1080" t="s">
        <v>1316</v>
      </c>
      <c r="B20" s="1065">
        <v>239</v>
      </c>
      <c r="C20" s="1065">
        <v>246</v>
      </c>
      <c r="D20" s="1065">
        <v>115</v>
      </c>
    </row>
    <row r="21" spans="1:4">
      <c r="A21" s="1080" t="s">
        <v>1317</v>
      </c>
      <c r="B21" s="1065">
        <v>2</v>
      </c>
      <c r="C21" s="1065">
        <v>-8</v>
      </c>
      <c r="D21" s="1065">
        <v>0</v>
      </c>
    </row>
    <row r="22" spans="1:4">
      <c r="A22" s="1064" t="s">
        <v>1318</v>
      </c>
      <c r="B22" s="1063"/>
      <c r="C22" s="1063"/>
      <c r="D22" s="1063"/>
    </row>
    <row r="23" spans="1:4">
      <c r="A23" s="1081" t="s">
        <v>1319</v>
      </c>
      <c r="B23" s="1065">
        <v>1038</v>
      </c>
      <c r="C23" s="1065">
        <v>25380</v>
      </c>
      <c r="D23" s="1065">
        <v>-24660</v>
      </c>
    </row>
    <row r="24" spans="1:4">
      <c r="A24" s="1081" t="s">
        <v>1320</v>
      </c>
      <c r="B24" s="1065">
        <v>-284</v>
      </c>
      <c r="C24" s="1065">
        <v>-539</v>
      </c>
      <c r="D24" s="1065">
        <v>-333</v>
      </c>
    </row>
    <row r="25" spans="1:4">
      <c r="A25" s="1082" t="s">
        <v>428</v>
      </c>
      <c r="B25" s="1065">
        <v>-130</v>
      </c>
      <c r="C25" s="1065">
        <v>-815</v>
      </c>
      <c r="D25" s="1065">
        <v>2421</v>
      </c>
    </row>
    <row r="26" spans="1:4">
      <c r="A26" s="1081" t="s">
        <v>1321</v>
      </c>
      <c r="B26" s="1065">
        <v>1405</v>
      </c>
      <c r="C26" s="1065">
        <v>-34323</v>
      </c>
      <c r="D26" s="1065">
        <v>32237</v>
      </c>
    </row>
    <row r="27" spans="1:4">
      <c r="A27" s="1082" t="s">
        <v>427</v>
      </c>
      <c r="B27" s="1065">
        <v>2719</v>
      </c>
      <c r="C27" s="1065">
        <v>2728</v>
      </c>
      <c r="D27" s="1065">
        <v>1261</v>
      </c>
    </row>
    <row r="28" spans="1:4">
      <c r="A28" s="1080" t="s">
        <v>1322</v>
      </c>
      <c r="B28" s="1065">
        <v>-189</v>
      </c>
      <c r="C28" s="1065">
        <v>763</v>
      </c>
      <c r="D28" s="1065">
        <v>204</v>
      </c>
    </row>
    <row r="29" spans="1:4">
      <c r="A29" s="1064" t="s">
        <v>1308</v>
      </c>
      <c r="B29" s="1068">
        <v>25906</v>
      </c>
      <c r="C29" s="1068">
        <v>18539</v>
      </c>
      <c r="D29" s="1068">
        <v>34160</v>
      </c>
    </row>
    <row r="30" spans="1:4">
      <c r="A30" s="1060"/>
      <c r="B30" s="1063"/>
      <c r="C30" s="1063"/>
      <c r="D30" s="1063"/>
    </row>
    <row r="31" spans="1:4">
      <c r="A31" s="1064" t="s">
        <v>1323</v>
      </c>
      <c r="B31" s="1063"/>
      <c r="C31" s="1063"/>
      <c r="D31" s="1063"/>
    </row>
    <row r="32" spans="1:4">
      <c r="A32" s="1080" t="s">
        <v>1324</v>
      </c>
      <c r="B32" s="1065">
        <v>-37033</v>
      </c>
      <c r="C32" s="1065">
        <v>-37288</v>
      </c>
      <c r="D32" s="1065">
        <v>-33871</v>
      </c>
    </row>
    <row r="33" spans="1:4">
      <c r="A33" s="1080" t="s">
        <v>1325</v>
      </c>
      <c r="B33" s="1065">
        <v>2439</v>
      </c>
      <c r="C33" s="1065">
        <v>2209</v>
      </c>
      <c r="D33" s="1065">
        <v>2870</v>
      </c>
    </row>
    <row r="34" spans="1:4">
      <c r="A34" s="1064" t="s">
        <v>1323</v>
      </c>
      <c r="B34" s="1068">
        <v>-34594</v>
      </c>
      <c r="C34" s="1068">
        <v>-35079</v>
      </c>
      <c r="D34" s="1068">
        <v>-31001</v>
      </c>
    </row>
    <row r="35" spans="1:4">
      <c r="A35" s="1060"/>
      <c r="B35" s="1063"/>
      <c r="C35" s="1063"/>
      <c r="D35" s="1063"/>
    </row>
    <row r="36" spans="1:4">
      <c r="A36" s="1064" t="s">
        <v>1326</v>
      </c>
      <c r="B36" s="1063"/>
      <c r="C36" s="1063"/>
      <c r="D36" s="1063"/>
    </row>
    <row r="37" spans="1:4">
      <c r="A37" s="1080" t="s">
        <v>1327</v>
      </c>
      <c r="B37" s="1065">
        <v>30000</v>
      </c>
      <c r="C37" s="1065">
        <v>0</v>
      </c>
      <c r="D37" s="1065">
        <v>0</v>
      </c>
    </row>
    <row r="38" spans="1:4">
      <c r="A38" s="1080" t="s">
        <v>1328</v>
      </c>
      <c r="B38" s="1065">
        <v>18000</v>
      </c>
      <c r="C38" s="1065">
        <v>27000</v>
      </c>
      <c r="D38" s="1065">
        <v>17000</v>
      </c>
    </row>
    <row r="39" spans="1:4">
      <c r="A39" s="1080" t="s">
        <v>1329</v>
      </c>
      <c r="B39" s="1065">
        <v>-29000</v>
      </c>
      <c r="C39" s="1065">
        <v>-15000</v>
      </c>
      <c r="D39" s="1065">
        <v>-10000</v>
      </c>
    </row>
    <row r="40" spans="1:4">
      <c r="A40" s="1080" t="s">
        <v>1330</v>
      </c>
      <c r="B40" s="1065">
        <v>-209</v>
      </c>
      <c r="C40" s="1065">
        <v>-51</v>
      </c>
      <c r="D40" s="1065">
        <v>-22</v>
      </c>
    </row>
    <row r="41" spans="1:4">
      <c r="A41" s="1080" t="s">
        <v>1331</v>
      </c>
      <c r="B41" s="1065">
        <v>0</v>
      </c>
      <c r="C41" s="1065">
        <v>-5000</v>
      </c>
      <c r="D41" s="1065">
        <v>0</v>
      </c>
    </row>
    <row r="42" spans="1:4">
      <c r="A42" s="1080" t="s">
        <v>1332</v>
      </c>
      <c r="B42" s="1065">
        <v>315</v>
      </c>
      <c r="C42" s="1065">
        <v>303</v>
      </c>
      <c r="D42" s="1065">
        <v>1189</v>
      </c>
    </row>
    <row r="43" spans="1:4">
      <c r="A43" s="1064" t="s">
        <v>1326</v>
      </c>
      <c r="B43" s="1068">
        <v>19106</v>
      </c>
      <c r="C43" s="1068">
        <v>7252</v>
      </c>
      <c r="D43" s="1068">
        <v>8167</v>
      </c>
    </row>
    <row r="44" spans="1:4">
      <c r="A44" s="1060"/>
      <c r="B44" s="1063"/>
      <c r="C44" s="1063"/>
      <c r="D44" s="1063"/>
    </row>
    <row r="45" spans="1:4">
      <c r="A45" s="1064" t="s">
        <v>1333</v>
      </c>
      <c r="B45" s="1068">
        <v>10418</v>
      </c>
      <c r="C45" s="1068">
        <v>-9288</v>
      </c>
      <c r="D45" s="1068">
        <v>11326</v>
      </c>
    </row>
    <row r="46" spans="1:4">
      <c r="A46" s="1060"/>
      <c r="B46" s="1063"/>
      <c r="C46" s="1063"/>
      <c r="D46" s="1063"/>
    </row>
    <row r="47" spans="1:4">
      <c r="A47" s="1064" t="s">
        <v>1334</v>
      </c>
      <c r="B47" s="1065">
        <v>3035</v>
      </c>
      <c r="C47" s="1065">
        <v>14449</v>
      </c>
      <c r="D47" s="1065">
        <v>3123</v>
      </c>
    </row>
    <row r="48" spans="1:4" ht="10.8" thickBot="1">
      <c r="A48" s="1064" t="s">
        <v>1335</v>
      </c>
      <c r="B48" s="1083">
        <v>13453</v>
      </c>
      <c r="C48" s="1083">
        <v>5161</v>
      </c>
      <c r="D48" s="1083">
        <v>14449</v>
      </c>
    </row>
    <row r="49" spans="1:4" ht="10.8" thickTop="1">
      <c r="A49" s="1064"/>
      <c r="B49" s="1063"/>
      <c r="C49" s="1063"/>
      <c r="D49" s="1063"/>
    </row>
    <row r="50" spans="1:4">
      <c r="A50" s="1084" t="s">
        <v>826</v>
      </c>
      <c r="B50" s="1085"/>
      <c r="C50" s="1111" t="s">
        <v>990</v>
      </c>
    </row>
    <row r="51" spans="1:4">
      <c r="A51" s="1085" t="s">
        <v>22</v>
      </c>
      <c r="B51" s="1085"/>
      <c r="C51" s="1085" t="s">
        <v>1336</v>
      </c>
    </row>
  </sheetData>
  <mergeCells count="5">
    <mergeCell ref="A7:H7"/>
    <mergeCell ref="A3:D3"/>
    <mergeCell ref="A4:D4"/>
    <mergeCell ref="A5:D5"/>
    <mergeCell ref="A6:D6"/>
  </mergeCells>
  <printOptions horizontalCentered="1"/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63A5F-C123-4C70-9430-E46E15EC486E}">
  <sheetPr>
    <tabColor rgb="FFFFFFCC"/>
  </sheetPr>
  <dimension ref="A1:E31"/>
  <sheetViews>
    <sheetView showGridLines="0" zoomScaleNormal="100" zoomScaleSheetLayoutView="100" workbookViewId="0"/>
  </sheetViews>
  <sheetFormatPr defaultColWidth="9.109375" defaultRowHeight="10.199999999999999"/>
  <cols>
    <col min="1" max="1" width="27" style="1059" bestFit="1" customWidth="1"/>
    <col min="2" max="5" width="15.6640625" style="1059" customWidth="1"/>
    <col min="6" max="16384" width="9.109375" style="1059"/>
  </cols>
  <sheetData>
    <row r="1" spans="1:5">
      <c r="E1" s="1058" t="s">
        <v>1337</v>
      </c>
    </row>
    <row r="2" spans="1:5">
      <c r="E2" s="1058" t="s">
        <v>797</v>
      </c>
    </row>
    <row r="3" spans="1:5">
      <c r="A3" s="1202" t="s">
        <v>366</v>
      </c>
      <c r="B3" s="1202"/>
      <c r="C3" s="1202"/>
      <c r="D3" s="1202"/>
      <c r="E3" s="1202"/>
    </row>
    <row r="4" spans="1:5">
      <c r="A4" s="1202" t="s">
        <v>1338</v>
      </c>
      <c r="B4" s="1202"/>
      <c r="C4" s="1202"/>
      <c r="D4" s="1202"/>
      <c r="E4" s="1202"/>
    </row>
    <row r="5" spans="1:5">
      <c r="A5" s="1201" t="s">
        <v>1781</v>
      </c>
      <c r="B5" s="1201"/>
      <c r="C5" s="1201"/>
      <c r="D5" s="1201"/>
      <c r="E5" s="1201"/>
    </row>
    <row r="6" spans="1:5">
      <c r="A6" s="1202" t="s">
        <v>799</v>
      </c>
      <c r="B6" s="1202"/>
      <c r="C6" s="1202"/>
      <c r="D6" s="1202"/>
      <c r="E6" s="1202"/>
    </row>
    <row r="7" spans="1:5">
      <c r="B7" s="1057"/>
      <c r="C7" s="1057"/>
      <c r="D7" s="1057"/>
      <c r="E7" s="1057"/>
    </row>
    <row r="8" spans="1:5" ht="20.399999999999999">
      <c r="A8" s="1060"/>
      <c r="B8" s="1062" t="s">
        <v>1280</v>
      </c>
      <c r="C8" s="1062" t="s">
        <v>1901</v>
      </c>
      <c r="D8" s="1062" t="s">
        <v>1902</v>
      </c>
      <c r="E8" s="1062" t="s">
        <v>1282</v>
      </c>
    </row>
    <row r="9" spans="1:5">
      <c r="A9" s="1060"/>
      <c r="B9" s="1063"/>
      <c r="C9" s="1063"/>
      <c r="D9" s="1063"/>
      <c r="E9" s="1063"/>
    </row>
    <row r="10" spans="1:5">
      <c r="A10" s="1060"/>
      <c r="B10" s="1063"/>
      <c r="C10" s="1063"/>
      <c r="D10" s="1063"/>
      <c r="E10" s="1063"/>
    </row>
    <row r="11" spans="1:5">
      <c r="A11" s="1064" t="s">
        <v>1342</v>
      </c>
      <c r="B11" s="1076">
        <v>67978</v>
      </c>
      <c r="C11" s="1076">
        <v>0</v>
      </c>
      <c r="D11" s="1076">
        <v>62168</v>
      </c>
      <c r="E11" s="1076">
        <v>130146</v>
      </c>
    </row>
    <row r="12" spans="1:5">
      <c r="A12" s="1064" t="s">
        <v>1339</v>
      </c>
      <c r="B12" s="1065">
        <v>0</v>
      </c>
      <c r="C12" s="1065">
        <v>0</v>
      </c>
      <c r="D12" s="1065">
        <v>11984</v>
      </c>
      <c r="E12" s="1065">
        <v>11984</v>
      </c>
    </row>
    <row r="13" spans="1:5">
      <c r="A13" s="1064" t="s">
        <v>1340</v>
      </c>
      <c r="B13" s="1065">
        <v>0</v>
      </c>
      <c r="C13" s="1065">
        <v>0</v>
      </c>
      <c r="D13" s="1065">
        <v>0</v>
      </c>
      <c r="E13" s="1065">
        <v>0</v>
      </c>
    </row>
    <row r="14" spans="1:5">
      <c r="A14" s="1064" t="s">
        <v>1341</v>
      </c>
      <c r="B14" s="1065">
        <v>0</v>
      </c>
      <c r="C14" s="1065">
        <v>0</v>
      </c>
      <c r="D14" s="1065">
        <v>0</v>
      </c>
      <c r="E14" s="1065">
        <v>0</v>
      </c>
    </row>
    <row r="15" spans="1:5">
      <c r="A15" s="1064" t="s">
        <v>634</v>
      </c>
      <c r="B15" s="1076">
        <v>0</v>
      </c>
      <c r="C15" s="1076">
        <v>0</v>
      </c>
      <c r="D15" s="1076">
        <v>0</v>
      </c>
      <c r="E15" s="1076">
        <v>0</v>
      </c>
    </row>
    <row r="16" spans="1:5">
      <c r="A16" s="1064" t="s">
        <v>1825</v>
      </c>
      <c r="B16" s="1065">
        <v>67978</v>
      </c>
      <c r="C16" s="1065"/>
      <c r="D16" s="1065">
        <v>74151</v>
      </c>
      <c r="E16" s="1065">
        <v>142129</v>
      </c>
    </row>
    <row r="17" spans="1:5">
      <c r="A17" s="1060"/>
      <c r="B17" s="1063"/>
      <c r="C17" s="1063"/>
      <c r="D17" s="1063"/>
      <c r="E17" s="1063"/>
    </row>
    <row r="18" spans="1:5">
      <c r="A18" s="1064" t="s">
        <v>1339</v>
      </c>
      <c r="B18" s="1065">
        <v>0</v>
      </c>
      <c r="C18" s="1065">
        <v>0</v>
      </c>
      <c r="D18" s="1065">
        <v>11026</v>
      </c>
      <c r="E18" s="1065">
        <v>11026</v>
      </c>
    </row>
    <row r="19" spans="1:5">
      <c r="A19" s="1064" t="s">
        <v>1340</v>
      </c>
      <c r="B19" s="1065">
        <v>0</v>
      </c>
      <c r="C19" s="1065">
        <v>0</v>
      </c>
      <c r="D19" s="1065">
        <v>-5000</v>
      </c>
      <c r="E19" s="1065">
        <v>-5000</v>
      </c>
    </row>
    <row r="20" spans="1:5">
      <c r="A20" s="1064" t="s">
        <v>1341</v>
      </c>
      <c r="B20" s="1065">
        <v>0</v>
      </c>
      <c r="C20" s="1065">
        <v>0</v>
      </c>
      <c r="D20" s="1065">
        <v>0</v>
      </c>
      <c r="E20" s="1065">
        <v>0</v>
      </c>
    </row>
    <row r="21" spans="1:5">
      <c r="A21" s="1064" t="s">
        <v>634</v>
      </c>
      <c r="B21" s="1076">
        <v>0</v>
      </c>
      <c r="C21" s="1076">
        <v>0</v>
      </c>
      <c r="D21" s="1076">
        <v>0</v>
      </c>
      <c r="E21" s="1076">
        <v>0</v>
      </c>
    </row>
    <row r="22" spans="1:5">
      <c r="A22" s="1064" t="s">
        <v>1784</v>
      </c>
      <c r="B22" s="1065">
        <v>67978</v>
      </c>
      <c r="C22" s="1065">
        <v>0</v>
      </c>
      <c r="D22" s="1065">
        <v>80177</v>
      </c>
      <c r="E22" s="1065">
        <v>148155</v>
      </c>
    </row>
    <row r="23" spans="1:5">
      <c r="A23" s="1060"/>
      <c r="B23" s="1063"/>
      <c r="C23" s="1063"/>
      <c r="D23" s="1063"/>
      <c r="E23" s="1063"/>
    </row>
    <row r="24" spans="1:5">
      <c r="A24" s="1064" t="s">
        <v>1339</v>
      </c>
      <c r="B24" s="1065">
        <v>0</v>
      </c>
      <c r="C24" s="1065">
        <v>0</v>
      </c>
      <c r="D24" s="1065">
        <v>6954</v>
      </c>
      <c r="E24" s="1065">
        <v>6954</v>
      </c>
    </row>
    <row r="25" spans="1:5">
      <c r="A25" s="1064" t="s">
        <v>1340</v>
      </c>
      <c r="B25" s="1065">
        <v>0</v>
      </c>
      <c r="C25" s="1065">
        <v>0</v>
      </c>
      <c r="D25" s="1065">
        <v>0</v>
      </c>
      <c r="E25" s="1065">
        <v>0</v>
      </c>
    </row>
    <row r="26" spans="1:5">
      <c r="A26" s="1064" t="s">
        <v>1341</v>
      </c>
      <c r="B26" s="1065">
        <v>0</v>
      </c>
      <c r="C26" s="1065">
        <v>0</v>
      </c>
      <c r="D26" s="1065">
        <v>0</v>
      </c>
      <c r="E26" s="1065">
        <v>0</v>
      </c>
    </row>
    <row r="27" spans="1:5">
      <c r="A27" s="1064" t="s">
        <v>634</v>
      </c>
      <c r="B27" s="1076">
        <v>0</v>
      </c>
      <c r="C27" s="1076">
        <v>0</v>
      </c>
      <c r="D27" s="1076">
        <v>0</v>
      </c>
      <c r="E27" s="1076">
        <v>0</v>
      </c>
    </row>
    <row r="28" spans="1:5" ht="10.8" thickBot="1">
      <c r="A28" s="1064" t="s">
        <v>1785</v>
      </c>
      <c r="B28" s="1070">
        <v>67978</v>
      </c>
      <c r="C28" s="1070">
        <v>0</v>
      </c>
      <c r="D28" s="1070">
        <v>87131</v>
      </c>
      <c r="E28" s="1070">
        <v>155109</v>
      </c>
    </row>
    <row r="29" spans="1:5" ht="10.8" thickTop="1">
      <c r="A29" s="1060"/>
      <c r="B29" s="1063"/>
      <c r="C29" s="1063"/>
      <c r="D29" s="1063"/>
      <c r="E29" s="1063"/>
    </row>
    <row r="30" spans="1:5">
      <c r="A30" s="1071" t="s">
        <v>826</v>
      </c>
      <c r="B30" s="1072"/>
      <c r="C30" s="1072"/>
      <c r="D30" s="1107" t="s">
        <v>990</v>
      </c>
    </row>
    <row r="31" spans="1:5">
      <c r="A31" s="1061" t="s">
        <v>22</v>
      </c>
      <c r="B31" s="1072"/>
      <c r="C31" s="1072"/>
      <c r="D31" s="1061" t="s">
        <v>22</v>
      </c>
    </row>
  </sheetData>
  <mergeCells count="4">
    <mergeCell ref="A4:E4"/>
    <mergeCell ref="A5:E5"/>
    <mergeCell ref="A6:E6"/>
    <mergeCell ref="A3:E3"/>
  </mergeCells>
  <printOptions horizontalCentered="1"/>
  <pageMargins left="0.7" right="0.7" top="0.75" bottom="0.75" header="0.3" footer="0.3"/>
  <pageSetup fitToHeight="0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193A-442E-426A-B072-2D41C60D0BAD}">
  <sheetPr>
    <tabColor rgb="FFFFFFCC"/>
  </sheetPr>
  <dimension ref="A1:D33"/>
  <sheetViews>
    <sheetView showGridLines="0" zoomScaleNormal="100" zoomScaleSheetLayoutView="100" workbookViewId="0"/>
  </sheetViews>
  <sheetFormatPr defaultColWidth="9.109375" defaultRowHeight="10.199999999999999"/>
  <cols>
    <col min="1" max="1" width="43.88671875" style="511" customWidth="1"/>
    <col min="2" max="4" width="15.6640625" style="511" customWidth="1"/>
    <col min="5" max="5" width="10.44140625" style="511" customWidth="1"/>
    <col min="6" max="16384" width="9.109375" style="511"/>
  </cols>
  <sheetData>
    <row r="1" spans="1:4">
      <c r="D1" s="1053" t="s">
        <v>1343</v>
      </c>
    </row>
    <row r="2" spans="1:4">
      <c r="D2" s="1053" t="s">
        <v>1033</v>
      </c>
    </row>
    <row r="3" spans="1:4">
      <c r="A3" s="1202" t="s">
        <v>366</v>
      </c>
      <c r="B3" s="1202"/>
      <c r="C3" s="1202"/>
      <c r="D3" s="1202"/>
    </row>
    <row r="4" spans="1:4">
      <c r="A4" s="1202" t="s">
        <v>1790</v>
      </c>
      <c r="B4" s="1202"/>
      <c r="C4" s="1202"/>
      <c r="D4" s="1202"/>
    </row>
    <row r="5" spans="1:4">
      <c r="A5" s="1201" t="s">
        <v>1782</v>
      </c>
      <c r="B5" s="1201"/>
      <c r="C5" s="1201"/>
      <c r="D5" s="1201"/>
    </row>
    <row r="6" spans="1:4">
      <c r="A6" s="1202" t="s">
        <v>799</v>
      </c>
      <c r="B6" s="1202"/>
      <c r="C6" s="1202"/>
      <c r="D6" s="1202"/>
    </row>
    <row r="7" spans="1:4">
      <c r="B7" s="1057"/>
      <c r="C7" s="1057"/>
      <c r="D7" s="1057"/>
    </row>
    <row r="8" spans="1:4">
      <c r="A8" s="1060"/>
      <c r="B8" s="1061">
        <v>2024</v>
      </c>
      <c r="C8" s="1061" t="s">
        <v>1087</v>
      </c>
      <c r="D8" s="1061">
        <v>2023</v>
      </c>
    </row>
    <row r="9" spans="1:4">
      <c r="A9" s="1060"/>
      <c r="B9" s="1062" t="s">
        <v>1258</v>
      </c>
      <c r="C9" s="1062" t="s">
        <v>1344</v>
      </c>
      <c r="D9" s="1062" t="s">
        <v>430</v>
      </c>
    </row>
    <row r="10" spans="1:4">
      <c r="A10" s="1060"/>
      <c r="B10" s="1063"/>
      <c r="C10" s="1063"/>
      <c r="D10" s="1063"/>
    </row>
    <row r="11" spans="1:4">
      <c r="A11" s="1064" t="s">
        <v>1040</v>
      </c>
      <c r="B11" s="1063"/>
      <c r="C11" s="1063"/>
      <c r="D11" s="1063"/>
    </row>
    <row r="12" spans="1:4">
      <c r="A12" s="1064" t="s">
        <v>133</v>
      </c>
      <c r="B12" s="1065">
        <v>456</v>
      </c>
      <c r="C12" s="1065">
        <v>0</v>
      </c>
      <c r="D12" s="1065">
        <v>456</v>
      </c>
    </row>
    <row r="13" spans="1:4">
      <c r="A13" s="1064" t="s">
        <v>135</v>
      </c>
      <c r="B13" s="1065">
        <v>25955</v>
      </c>
      <c r="C13" s="1065">
        <v>0</v>
      </c>
      <c r="D13" s="1065">
        <v>25955</v>
      </c>
    </row>
    <row r="14" spans="1:4">
      <c r="A14" s="1064" t="s">
        <v>136</v>
      </c>
      <c r="B14" s="1065">
        <v>521718</v>
      </c>
      <c r="C14" s="1065">
        <v>9618</v>
      </c>
      <c r="D14" s="1065">
        <v>512100</v>
      </c>
    </row>
    <row r="15" spans="1:4">
      <c r="A15" s="1064" t="s">
        <v>137</v>
      </c>
      <c r="B15" s="1065">
        <v>60254</v>
      </c>
      <c r="C15" s="1065">
        <v>1788</v>
      </c>
      <c r="D15" s="1065">
        <v>58466</v>
      </c>
    </row>
    <row r="16" spans="1:4">
      <c r="A16" s="1064" t="s">
        <v>1345</v>
      </c>
      <c r="B16" s="1067">
        <v>608383</v>
      </c>
      <c r="C16" s="1067">
        <v>11406</v>
      </c>
      <c r="D16" s="1067">
        <v>596977</v>
      </c>
    </row>
    <row r="17" spans="1:4">
      <c r="A17" s="1064" t="s">
        <v>181</v>
      </c>
      <c r="B17" s="1065"/>
      <c r="C17" s="1065"/>
      <c r="D17" s="1065"/>
    </row>
    <row r="18" spans="1:4">
      <c r="A18" s="1064" t="s">
        <v>1260</v>
      </c>
      <c r="B18" s="1065">
        <v>4459</v>
      </c>
      <c r="C18" s="1065">
        <v>-1129</v>
      </c>
      <c r="D18" s="1065">
        <v>5588</v>
      </c>
    </row>
    <row r="19" spans="1:4">
      <c r="A19" s="1064" t="s">
        <v>1261</v>
      </c>
      <c r="B19" s="1065">
        <v>334</v>
      </c>
      <c r="C19" s="1065">
        <v>0</v>
      </c>
      <c r="D19" s="1065">
        <v>334</v>
      </c>
    </row>
    <row r="20" spans="1:4">
      <c r="A20" s="1064" t="s">
        <v>1346</v>
      </c>
      <c r="B20" s="1065">
        <v>2385</v>
      </c>
      <c r="C20" s="1065">
        <v>606</v>
      </c>
      <c r="D20" s="1065">
        <v>1779</v>
      </c>
    </row>
    <row r="21" spans="1:4">
      <c r="A21" s="1064" t="s">
        <v>648</v>
      </c>
      <c r="B21" s="1087">
        <v>615561</v>
      </c>
      <c r="C21" s="1087">
        <v>10883</v>
      </c>
      <c r="D21" s="1087">
        <v>604678</v>
      </c>
    </row>
    <row r="22" spans="1:4">
      <c r="A22" s="1064" t="s">
        <v>181</v>
      </c>
      <c r="B22" s="1065"/>
      <c r="C22" s="1065"/>
      <c r="D22" s="1065"/>
    </row>
    <row r="23" spans="1:4">
      <c r="A23" s="1064" t="s">
        <v>1263</v>
      </c>
      <c r="B23" s="1065">
        <v>-273305</v>
      </c>
      <c r="C23" s="1065">
        <v>-3554</v>
      </c>
      <c r="D23" s="1065">
        <v>-269751</v>
      </c>
    </row>
    <row r="24" spans="1:4">
      <c r="A24" s="1064" t="s">
        <v>1264</v>
      </c>
      <c r="B24" s="1065">
        <v>0</v>
      </c>
      <c r="C24" s="1065">
        <v>0</v>
      </c>
      <c r="D24" s="1065">
        <v>0</v>
      </c>
    </row>
    <row r="25" spans="1:4">
      <c r="A25" s="1064" t="s">
        <v>1347</v>
      </c>
      <c r="B25" s="1087">
        <v>-273305</v>
      </c>
      <c r="C25" s="1087">
        <v>-3554</v>
      </c>
      <c r="D25" s="1087">
        <v>-269751</v>
      </c>
    </row>
    <row r="26" spans="1:4">
      <c r="A26" s="1064" t="s">
        <v>181</v>
      </c>
      <c r="B26" s="1065"/>
      <c r="C26" s="1065"/>
      <c r="D26" s="1065"/>
    </row>
    <row r="27" spans="1:4" ht="10.8" thickBot="1">
      <c r="A27" s="1064" t="s">
        <v>1348</v>
      </c>
      <c r="B27" s="1069">
        <v>342256</v>
      </c>
      <c r="C27" s="1069">
        <v>7329</v>
      </c>
      <c r="D27" s="1069">
        <v>334927</v>
      </c>
    </row>
    <row r="28" spans="1:4" ht="10.8" thickTop="1">
      <c r="A28" s="1060"/>
      <c r="B28" s="1065"/>
      <c r="C28" s="1065"/>
      <c r="D28" s="1065"/>
    </row>
    <row r="29" spans="1:4">
      <c r="A29" s="1060"/>
      <c r="B29" s="1063"/>
      <c r="C29" s="1063"/>
      <c r="D29" s="1063"/>
    </row>
    <row r="30" spans="1:4">
      <c r="A30" s="1060"/>
      <c r="B30" s="1063"/>
      <c r="C30" s="1063"/>
      <c r="D30" s="1063"/>
    </row>
    <row r="31" spans="1:4">
      <c r="A31" s="1060"/>
      <c r="B31" s="1063"/>
      <c r="C31" s="1063"/>
      <c r="D31" s="1063"/>
    </row>
    <row r="32" spans="1:4">
      <c r="A32" s="1071" t="s">
        <v>1349</v>
      </c>
      <c r="B32" s="1072"/>
      <c r="C32" s="1072"/>
      <c r="D32" s="1071" t="s">
        <v>990</v>
      </c>
    </row>
    <row r="33" spans="1:4">
      <c r="A33" s="1061" t="s">
        <v>1350</v>
      </c>
      <c r="B33" s="1072"/>
      <c r="C33" s="1072"/>
      <c r="D33" s="1061" t="s">
        <v>1351</v>
      </c>
    </row>
  </sheetData>
  <mergeCells count="4">
    <mergeCell ref="A3:D3"/>
    <mergeCell ref="A4:D4"/>
    <mergeCell ref="A5:D5"/>
    <mergeCell ref="A6:D6"/>
  </mergeCells>
  <printOptions horizontalCentered="1"/>
  <pageMargins left="0.7" right="0.7" top="0.75" bottom="0.75" header="0.3" footer="0.3"/>
  <pageSetup fitToHeight="0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FC0CA-091D-4858-B0F7-8B06E0040F5F}">
  <sheetPr>
    <tabColor rgb="FFFFFFCC"/>
  </sheetPr>
  <dimension ref="A1:D56"/>
  <sheetViews>
    <sheetView zoomScaleNormal="100" zoomScaleSheetLayoutView="100" workbookViewId="0"/>
  </sheetViews>
  <sheetFormatPr defaultColWidth="8.6640625" defaultRowHeight="10.199999999999999"/>
  <cols>
    <col min="1" max="1" width="43.88671875" style="511" bestFit="1" customWidth="1"/>
    <col min="2" max="4" width="15.6640625" style="511" customWidth="1"/>
    <col min="5" max="16384" width="8.6640625" style="511"/>
  </cols>
  <sheetData>
    <row r="1" spans="1:4">
      <c r="A1" s="1057"/>
      <c r="B1" s="1057"/>
      <c r="C1" s="1057"/>
      <c r="D1" s="1058" t="s">
        <v>1343</v>
      </c>
    </row>
    <row r="2" spans="1:4">
      <c r="A2" s="1057"/>
      <c r="B2" s="1057"/>
      <c r="C2" s="1057"/>
      <c r="D2" s="1058" t="s">
        <v>1046</v>
      </c>
    </row>
    <row r="3" spans="1:4">
      <c r="A3" s="1202" t="s">
        <v>366</v>
      </c>
      <c r="B3" s="1202"/>
      <c r="C3" s="1202"/>
      <c r="D3" s="1202"/>
    </row>
    <row r="4" spans="1:4">
      <c r="A4" s="1202" t="s">
        <v>1791</v>
      </c>
      <c r="B4" s="1202"/>
      <c r="C4" s="1202"/>
      <c r="D4" s="1202"/>
    </row>
    <row r="5" spans="1:4">
      <c r="A5" s="1201" t="s">
        <v>1782</v>
      </c>
      <c r="B5" s="1201"/>
      <c r="C5" s="1201"/>
      <c r="D5" s="1201"/>
    </row>
    <row r="6" spans="1:4">
      <c r="A6" s="1202" t="s">
        <v>799</v>
      </c>
      <c r="B6" s="1202"/>
      <c r="C6" s="1202"/>
      <c r="D6" s="1202"/>
    </row>
    <row r="7" spans="1:4">
      <c r="B7" s="1057"/>
      <c r="C7" s="1057"/>
      <c r="D7" s="1057"/>
    </row>
    <row r="8" spans="1:4">
      <c r="A8" s="1060"/>
      <c r="B8" s="1061">
        <v>2024</v>
      </c>
      <c r="C8" s="1061" t="s">
        <v>1087</v>
      </c>
      <c r="D8" s="1061">
        <v>2023</v>
      </c>
    </row>
    <row r="9" spans="1:4">
      <c r="A9" s="1060"/>
      <c r="B9" s="1062" t="s">
        <v>1258</v>
      </c>
      <c r="C9" s="1062" t="s">
        <v>1344</v>
      </c>
      <c r="D9" s="1062" t="s">
        <v>430</v>
      </c>
    </row>
    <row r="10" spans="1:4">
      <c r="A10" s="1060"/>
      <c r="B10" s="1063"/>
      <c r="C10" s="1063"/>
      <c r="D10" s="1063"/>
    </row>
    <row r="11" spans="1:4">
      <c r="A11" s="1064" t="s">
        <v>1040</v>
      </c>
      <c r="B11" s="1063"/>
      <c r="C11" s="1063"/>
      <c r="D11" s="1063"/>
    </row>
    <row r="12" spans="1:4">
      <c r="A12" s="1064" t="s">
        <v>133</v>
      </c>
      <c r="B12" s="1063"/>
      <c r="C12" s="1063"/>
      <c r="D12" s="1063"/>
    </row>
    <row r="13" spans="1:4">
      <c r="A13" s="1064" t="s">
        <v>707</v>
      </c>
      <c r="B13" s="1063">
        <v>371</v>
      </c>
      <c r="C13" s="1063">
        <v>0</v>
      </c>
      <c r="D13" s="1063">
        <v>371</v>
      </c>
    </row>
    <row r="14" spans="1:4">
      <c r="A14" s="1064" t="s">
        <v>708</v>
      </c>
      <c r="B14" s="1065">
        <v>85</v>
      </c>
      <c r="C14" s="1065">
        <v>0</v>
      </c>
      <c r="D14" s="1065">
        <v>85</v>
      </c>
    </row>
    <row r="15" spans="1:4">
      <c r="A15" s="1064" t="s">
        <v>260</v>
      </c>
      <c r="B15" s="1068">
        <v>456</v>
      </c>
      <c r="C15" s="1068">
        <v>0</v>
      </c>
      <c r="D15" s="1068">
        <v>456</v>
      </c>
    </row>
    <row r="16" spans="1:4">
      <c r="A16" s="1060"/>
      <c r="B16" s="1063"/>
      <c r="C16" s="1063"/>
      <c r="D16" s="1063"/>
    </row>
    <row r="17" spans="1:4">
      <c r="A17" s="1064" t="s">
        <v>135</v>
      </c>
      <c r="B17" s="1063"/>
      <c r="C17" s="1063"/>
      <c r="D17" s="1063"/>
    </row>
    <row r="18" spans="1:4">
      <c r="A18" s="1064" t="s">
        <v>709</v>
      </c>
      <c r="B18" s="1065">
        <v>103</v>
      </c>
      <c r="C18" s="1065">
        <v>0</v>
      </c>
      <c r="D18" s="1065">
        <v>103</v>
      </c>
    </row>
    <row r="19" spans="1:4">
      <c r="A19" s="1064" t="s">
        <v>710</v>
      </c>
      <c r="B19" s="1065">
        <v>22</v>
      </c>
      <c r="C19" s="1065">
        <v>0</v>
      </c>
      <c r="D19" s="1065">
        <v>22</v>
      </c>
    </row>
    <row r="20" spans="1:4">
      <c r="A20" s="1064" t="s">
        <v>711</v>
      </c>
      <c r="B20" s="1065">
        <v>22185</v>
      </c>
      <c r="C20" s="1065">
        <v>0</v>
      </c>
      <c r="D20" s="1065">
        <v>22185</v>
      </c>
    </row>
    <row r="21" spans="1:4">
      <c r="A21" s="1064" t="s">
        <v>712</v>
      </c>
      <c r="B21" s="1065">
        <v>3461</v>
      </c>
      <c r="C21" s="1065">
        <v>0</v>
      </c>
      <c r="D21" s="1065">
        <v>3461</v>
      </c>
    </row>
    <row r="22" spans="1:4">
      <c r="A22" s="1064" t="s">
        <v>713</v>
      </c>
      <c r="B22" s="1065">
        <v>184</v>
      </c>
      <c r="C22" s="1065">
        <v>0</v>
      </c>
      <c r="D22" s="1065">
        <v>184</v>
      </c>
    </row>
    <row r="23" spans="1:4">
      <c r="A23" s="1064" t="s">
        <v>261</v>
      </c>
      <c r="B23" s="1068">
        <v>25955</v>
      </c>
      <c r="C23" s="1068">
        <v>0</v>
      </c>
      <c r="D23" s="1068">
        <v>25955</v>
      </c>
    </row>
    <row r="24" spans="1:4">
      <c r="A24" s="1064"/>
      <c r="B24" s="1065"/>
      <c r="C24" s="1065"/>
      <c r="D24" s="1065"/>
    </row>
    <row r="25" spans="1:4">
      <c r="A25" s="1064" t="s">
        <v>136</v>
      </c>
      <c r="B25" s="1063"/>
      <c r="C25" s="1063"/>
      <c r="D25" s="1063"/>
    </row>
    <row r="26" spans="1:4">
      <c r="A26" s="1064" t="s">
        <v>1742</v>
      </c>
      <c r="B26" s="1065">
        <v>453</v>
      </c>
      <c r="C26" s="1065">
        <v>2</v>
      </c>
      <c r="D26" s="1065">
        <v>451</v>
      </c>
    </row>
    <row r="27" spans="1:4">
      <c r="A27" s="1064" t="s">
        <v>714</v>
      </c>
      <c r="B27" s="1065">
        <v>163</v>
      </c>
      <c r="C27" s="1065">
        <v>0</v>
      </c>
      <c r="D27" s="1065">
        <v>163</v>
      </c>
    </row>
    <row r="28" spans="1:4">
      <c r="A28" s="1064" t="s">
        <v>715</v>
      </c>
      <c r="B28" s="1065">
        <v>259465</v>
      </c>
      <c r="C28" s="1065">
        <v>3487</v>
      </c>
      <c r="D28" s="1065">
        <v>255978</v>
      </c>
    </row>
    <row r="29" spans="1:4">
      <c r="A29" s="1064" t="s">
        <v>716</v>
      </c>
      <c r="B29" s="1065">
        <v>5463</v>
      </c>
      <c r="C29" s="1065">
        <v>299</v>
      </c>
      <c r="D29" s="1065">
        <v>5164</v>
      </c>
    </row>
    <row r="30" spans="1:4">
      <c r="A30" s="1064" t="s">
        <v>717</v>
      </c>
      <c r="B30" s="1065">
        <v>5892</v>
      </c>
      <c r="C30" s="1065">
        <v>-13</v>
      </c>
      <c r="D30" s="1065">
        <v>5905</v>
      </c>
    </row>
    <row r="31" spans="1:4">
      <c r="A31" s="1064" t="s">
        <v>718</v>
      </c>
      <c r="B31" s="1065">
        <v>178730</v>
      </c>
      <c r="C31" s="1065">
        <v>4396</v>
      </c>
      <c r="D31" s="1065">
        <v>174334</v>
      </c>
    </row>
    <row r="32" spans="1:4">
      <c r="A32" s="1064" t="s">
        <v>719</v>
      </c>
      <c r="B32" s="1065">
        <v>41940</v>
      </c>
      <c r="C32" s="1065">
        <v>1094</v>
      </c>
      <c r="D32" s="1065">
        <v>40846</v>
      </c>
    </row>
    <row r="33" spans="1:4">
      <c r="A33" s="1064" t="s">
        <v>720</v>
      </c>
      <c r="B33" s="1065">
        <v>15005</v>
      </c>
      <c r="C33" s="1065">
        <v>218</v>
      </c>
      <c r="D33" s="1065">
        <v>14787</v>
      </c>
    </row>
    <row r="34" spans="1:4">
      <c r="A34" s="1064" t="s">
        <v>721</v>
      </c>
      <c r="B34" s="1065">
        <v>4982</v>
      </c>
      <c r="C34" s="1065">
        <v>82</v>
      </c>
      <c r="D34" s="1065">
        <v>4900</v>
      </c>
    </row>
    <row r="35" spans="1:4">
      <c r="A35" s="1064" t="s">
        <v>722</v>
      </c>
      <c r="B35" s="1065">
        <v>4326</v>
      </c>
      <c r="C35" s="1065">
        <v>96</v>
      </c>
      <c r="D35" s="1065">
        <v>4230</v>
      </c>
    </row>
    <row r="36" spans="1:4">
      <c r="A36" s="1064" t="s">
        <v>723</v>
      </c>
      <c r="B36" s="1065">
        <v>2947</v>
      </c>
      <c r="C36" s="1065">
        <v>-44</v>
      </c>
      <c r="D36" s="1065">
        <v>2991</v>
      </c>
    </row>
    <row r="37" spans="1:4">
      <c r="A37" s="1064" t="s">
        <v>724</v>
      </c>
      <c r="B37" s="1065">
        <v>2352</v>
      </c>
      <c r="C37" s="1065">
        <v>1</v>
      </c>
      <c r="D37" s="1065">
        <v>2351</v>
      </c>
    </row>
    <row r="38" spans="1:4">
      <c r="A38" s="1064" t="s">
        <v>262</v>
      </c>
      <c r="B38" s="1068">
        <v>521718</v>
      </c>
      <c r="C38" s="1068">
        <v>9618</v>
      </c>
      <c r="D38" s="1068">
        <v>512100</v>
      </c>
    </row>
    <row r="39" spans="1:4">
      <c r="A39" s="1060"/>
      <c r="B39" s="1063"/>
      <c r="C39" s="1063"/>
      <c r="D39" s="1063"/>
    </row>
    <row r="40" spans="1:4">
      <c r="A40" s="1064" t="s">
        <v>137</v>
      </c>
      <c r="B40" s="1063"/>
      <c r="C40" s="1063"/>
      <c r="D40" s="1063"/>
    </row>
    <row r="41" spans="1:4">
      <c r="A41" s="1064" t="s">
        <v>725</v>
      </c>
      <c r="B41" s="1065">
        <v>1514</v>
      </c>
      <c r="C41" s="1065">
        <v>0</v>
      </c>
      <c r="D41" s="1065">
        <v>1514</v>
      </c>
    </row>
    <row r="42" spans="1:4">
      <c r="A42" s="1064" t="s">
        <v>726</v>
      </c>
      <c r="B42" s="1065">
        <v>23885</v>
      </c>
      <c r="C42" s="1065">
        <v>219</v>
      </c>
      <c r="D42" s="1065">
        <v>23666</v>
      </c>
    </row>
    <row r="43" spans="1:4">
      <c r="A43" s="1064" t="s">
        <v>727</v>
      </c>
      <c r="B43" s="1065">
        <v>5043</v>
      </c>
      <c r="C43" s="1065">
        <v>-94</v>
      </c>
      <c r="D43" s="1065">
        <v>5137</v>
      </c>
    </row>
    <row r="44" spans="1:4">
      <c r="A44" s="1064" t="s">
        <v>728</v>
      </c>
      <c r="B44" s="1065">
        <v>14567</v>
      </c>
      <c r="C44" s="1065">
        <v>1233</v>
      </c>
      <c r="D44" s="1065">
        <v>13334</v>
      </c>
    </row>
    <row r="45" spans="1:4">
      <c r="A45" s="1064" t="s">
        <v>729</v>
      </c>
      <c r="B45" s="1065">
        <v>359</v>
      </c>
      <c r="C45" s="1065">
        <v>0</v>
      </c>
      <c r="D45" s="1065">
        <v>359</v>
      </c>
    </row>
    <row r="46" spans="1:4">
      <c r="A46" s="1064" t="s">
        <v>730</v>
      </c>
      <c r="B46" s="1065">
        <v>6995</v>
      </c>
      <c r="C46" s="1065">
        <v>176</v>
      </c>
      <c r="D46" s="1065">
        <v>6819</v>
      </c>
    </row>
    <row r="47" spans="1:4">
      <c r="A47" s="1064" t="s">
        <v>731</v>
      </c>
      <c r="B47" s="1065">
        <v>90</v>
      </c>
      <c r="C47" s="1065">
        <v>29</v>
      </c>
      <c r="D47" s="1065">
        <v>61</v>
      </c>
    </row>
    <row r="48" spans="1:4">
      <c r="A48" s="1064" t="s">
        <v>732</v>
      </c>
      <c r="B48" s="1065">
        <v>3049</v>
      </c>
      <c r="C48" s="1065">
        <v>209</v>
      </c>
      <c r="D48" s="1065">
        <v>2840</v>
      </c>
    </row>
    <row r="49" spans="1:4">
      <c r="A49" s="1064" t="s">
        <v>733</v>
      </c>
      <c r="B49" s="1065">
        <v>4215</v>
      </c>
      <c r="C49" s="1065">
        <v>-14</v>
      </c>
      <c r="D49" s="1065">
        <v>4229</v>
      </c>
    </row>
    <row r="50" spans="1:4">
      <c r="A50" s="1064" t="s">
        <v>734</v>
      </c>
      <c r="B50" s="1065">
        <v>537</v>
      </c>
      <c r="C50" s="1065">
        <v>30</v>
      </c>
      <c r="D50" s="1065">
        <v>507</v>
      </c>
    </row>
    <row r="51" spans="1:4">
      <c r="A51" s="1064" t="s">
        <v>263</v>
      </c>
      <c r="B51" s="1068">
        <v>60254</v>
      </c>
      <c r="C51" s="1068">
        <v>1788</v>
      </c>
      <c r="D51" s="1068">
        <v>58466</v>
      </c>
    </row>
    <row r="52" spans="1:4">
      <c r="A52" s="1060" t="s">
        <v>181</v>
      </c>
      <c r="B52" s="1063"/>
      <c r="C52" s="1063"/>
      <c r="D52" s="1063"/>
    </row>
    <row r="53" spans="1:4" ht="10.8" thickBot="1">
      <c r="A53" s="1064" t="s">
        <v>1786</v>
      </c>
      <c r="B53" s="1077">
        <v>608383</v>
      </c>
      <c r="C53" s="1077">
        <v>11406</v>
      </c>
      <c r="D53" s="1077">
        <v>596977</v>
      </c>
    </row>
    <row r="54" spans="1:4" ht="10.8" thickTop="1">
      <c r="A54" s="1060"/>
      <c r="B54" s="1063"/>
      <c r="C54" s="1063"/>
      <c r="D54" s="1063"/>
    </row>
    <row r="55" spans="1:4">
      <c r="A55" s="1071" t="s">
        <v>826</v>
      </c>
      <c r="B55" s="1072"/>
      <c r="C55" s="1072"/>
      <c r="D55" s="1071" t="s">
        <v>990</v>
      </c>
    </row>
    <row r="56" spans="1:4">
      <c r="A56" s="1061" t="s">
        <v>22</v>
      </c>
      <c r="B56" s="1072"/>
      <c r="C56" s="1072"/>
      <c r="D56" s="1061" t="s">
        <v>1352</v>
      </c>
    </row>
  </sheetData>
  <mergeCells count="4">
    <mergeCell ref="A4:D4"/>
    <mergeCell ref="A5:D5"/>
    <mergeCell ref="A6:D6"/>
    <mergeCell ref="A3:D3"/>
  </mergeCells>
  <printOptions horizontalCentered="1"/>
  <pageMargins left="0.7" right="0.7" top="0.75" bottom="0.75" header="0.3" footer="0.3"/>
  <pageSetup fitToHeight="0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E633C-62EF-4056-BECB-156AD9923393}">
  <sheetPr>
    <tabColor rgb="FFFFFFCC"/>
  </sheetPr>
  <dimension ref="A1:D34"/>
  <sheetViews>
    <sheetView showGridLines="0" zoomScaleNormal="100" zoomScaleSheetLayoutView="100" workbookViewId="0"/>
  </sheetViews>
  <sheetFormatPr defaultColWidth="9.109375" defaultRowHeight="10.199999999999999"/>
  <cols>
    <col min="1" max="1" width="32.109375" style="1059" bestFit="1" customWidth="1"/>
    <col min="2" max="4" width="15.6640625" style="1059" customWidth="1"/>
    <col min="5" max="16384" width="9.109375" style="1059"/>
  </cols>
  <sheetData>
    <row r="1" spans="1:4">
      <c r="D1" s="1058" t="s">
        <v>1353</v>
      </c>
    </row>
    <row r="2" spans="1:4">
      <c r="D2" s="1058" t="s">
        <v>797</v>
      </c>
    </row>
    <row r="3" spans="1:4">
      <c r="A3" s="1202" t="s">
        <v>366</v>
      </c>
      <c r="B3" s="1202"/>
      <c r="C3" s="1202"/>
      <c r="D3" s="1202"/>
    </row>
    <row r="4" spans="1:4">
      <c r="A4" s="1202" t="s">
        <v>1354</v>
      </c>
      <c r="B4" s="1202"/>
      <c r="C4" s="1202"/>
      <c r="D4" s="1202"/>
    </row>
    <row r="5" spans="1:4">
      <c r="A5" s="1201" t="s">
        <v>1781</v>
      </c>
      <c r="B5" s="1201"/>
      <c r="C5" s="1201"/>
      <c r="D5" s="1201"/>
    </row>
    <row r="6" spans="1:4">
      <c r="A6" s="1202" t="s">
        <v>799</v>
      </c>
      <c r="B6" s="1202"/>
      <c r="C6" s="1202"/>
      <c r="D6" s="1202"/>
    </row>
    <row r="7" spans="1:4">
      <c r="B7" s="1057"/>
      <c r="C7" s="1057"/>
      <c r="D7" s="1057"/>
    </row>
    <row r="8" spans="1:4">
      <c r="A8" s="1060"/>
      <c r="B8" s="1061" t="s">
        <v>1258</v>
      </c>
      <c r="C8" s="1203" t="s">
        <v>1297</v>
      </c>
      <c r="D8" s="1203"/>
    </row>
    <row r="9" spans="1:4">
      <c r="A9" s="1078" t="s">
        <v>0</v>
      </c>
      <c r="B9" s="1062">
        <v>2024</v>
      </c>
      <c r="C9" s="1062">
        <v>2023</v>
      </c>
      <c r="D9" s="1062">
        <v>2022</v>
      </c>
    </row>
    <row r="10" spans="1:4">
      <c r="A10" s="1060"/>
      <c r="B10" s="1063"/>
      <c r="C10" s="1063"/>
      <c r="D10" s="1063"/>
    </row>
    <row r="11" spans="1:4">
      <c r="A11" s="1064" t="s">
        <v>44</v>
      </c>
      <c r="B11" s="1063"/>
      <c r="C11" s="1063"/>
      <c r="D11" s="1063"/>
    </row>
    <row r="12" spans="1:4">
      <c r="A12" s="1064" t="s">
        <v>1436</v>
      </c>
      <c r="B12" s="1063"/>
      <c r="C12" s="1063"/>
      <c r="D12" s="1063"/>
    </row>
    <row r="13" spans="1:4">
      <c r="A13" s="1064" t="s">
        <v>1355</v>
      </c>
      <c r="B13" s="1065">
        <v>83646</v>
      </c>
      <c r="C13" s="1065">
        <v>93048</v>
      </c>
      <c r="D13" s="1065">
        <v>87816</v>
      </c>
    </row>
    <row r="14" spans="1:4">
      <c r="A14" s="1064" t="s">
        <v>1787</v>
      </c>
      <c r="B14" s="1065">
        <v>28104</v>
      </c>
      <c r="C14" s="1065">
        <v>30697</v>
      </c>
      <c r="D14" s="1065">
        <v>28757</v>
      </c>
    </row>
    <row r="15" spans="1:4">
      <c r="A15" s="1064" t="s">
        <v>1788</v>
      </c>
      <c r="B15" s="1065">
        <v>1622</v>
      </c>
      <c r="C15" s="1065">
        <v>1578</v>
      </c>
      <c r="D15" s="1065">
        <v>1651</v>
      </c>
    </row>
    <row r="16" spans="1:4">
      <c r="A16" s="1064" t="s">
        <v>1789</v>
      </c>
      <c r="B16" s="1065">
        <v>4276</v>
      </c>
      <c r="C16" s="1065">
        <v>4888</v>
      </c>
      <c r="D16" s="1065">
        <v>4662</v>
      </c>
    </row>
    <row r="17" spans="1:4">
      <c r="A17" s="1064" t="s">
        <v>45</v>
      </c>
      <c r="B17" s="1067">
        <v>117648</v>
      </c>
      <c r="C17" s="1067">
        <v>130211</v>
      </c>
      <c r="D17" s="1067">
        <v>122886</v>
      </c>
    </row>
    <row r="18" spans="1:4">
      <c r="A18" s="1060"/>
      <c r="B18" s="1063"/>
      <c r="C18" s="1063"/>
      <c r="D18" s="1063"/>
    </row>
    <row r="19" spans="1:4">
      <c r="A19" s="1064" t="s">
        <v>322</v>
      </c>
      <c r="B19" s="1065">
        <v>371</v>
      </c>
      <c r="C19" s="1065">
        <v>192</v>
      </c>
      <c r="D19" s="1065">
        <v>130</v>
      </c>
    </row>
    <row r="20" spans="1:4">
      <c r="A20" s="1064" t="s">
        <v>59</v>
      </c>
      <c r="B20" s="1065">
        <v>8142</v>
      </c>
      <c r="C20" s="1065">
        <v>9014</v>
      </c>
      <c r="D20" s="1065">
        <v>7835</v>
      </c>
    </row>
    <row r="21" spans="1:4">
      <c r="A21" s="1064" t="s">
        <v>244</v>
      </c>
      <c r="B21" s="1068">
        <v>126161</v>
      </c>
      <c r="C21" s="1068">
        <v>139417</v>
      </c>
      <c r="D21" s="1068">
        <v>130851</v>
      </c>
    </row>
    <row r="22" spans="1:4">
      <c r="A22" s="1064"/>
      <c r="B22" s="1065"/>
      <c r="C22" s="1065"/>
      <c r="D22" s="1065"/>
    </row>
    <row r="23" spans="1:4">
      <c r="A23" s="1064" t="s">
        <v>1299</v>
      </c>
      <c r="B23" s="1063"/>
      <c r="C23" s="1063"/>
      <c r="D23" s="1063"/>
    </row>
    <row r="24" spans="1:4">
      <c r="A24" s="1064" t="s">
        <v>1783</v>
      </c>
      <c r="B24" s="1065">
        <v>60226</v>
      </c>
      <c r="C24" s="1065">
        <v>70876</v>
      </c>
      <c r="D24" s="1065">
        <v>64635</v>
      </c>
    </row>
    <row r="25" spans="1:4">
      <c r="A25" s="1064" t="s">
        <v>337</v>
      </c>
      <c r="B25" s="1065">
        <v>28733</v>
      </c>
      <c r="C25" s="1065">
        <v>27523</v>
      </c>
      <c r="D25" s="1065">
        <v>25241</v>
      </c>
    </row>
    <row r="26" spans="1:4">
      <c r="A26" s="1064" t="s">
        <v>50</v>
      </c>
      <c r="B26" s="1065">
        <v>16665</v>
      </c>
      <c r="C26" s="1065">
        <v>16252</v>
      </c>
      <c r="D26" s="1065">
        <v>15719</v>
      </c>
    </row>
    <row r="27" spans="1:4">
      <c r="A27" s="1064" t="s">
        <v>338</v>
      </c>
      <c r="B27" s="1065">
        <v>5159</v>
      </c>
      <c r="C27" s="1065">
        <v>5025</v>
      </c>
      <c r="D27" s="1065">
        <v>5034</v>
      </c>
    </row>
    <row r="28" spans="1:4">
      <c r="A28" s="1064" t="s">
        <v>8</v>
      </c>
      <c r="B28" s="1065">
        <v>2063</v>
      </c>
      <c r="C28" s="1065">
        <v>3380</v>
      </c>
      <c r="D28" s="1065">
        <v>3429</v>
      </c>
    </row>
    <row r="29" spans="1:4">
      <c r="A29" s="1064" t="s">
        <v>154</v>
      </c>
      <c r="B29" s="1068">
        <v>112846</v>
      </c>
      <c r="C29" s="1068">
        <v>123056</v>
      </c>
      <c r="D29" s="1068">
        <v>114058</v>
      </c>
    </row>
    <row r="30" spans="1:4">
      <c r="A30" s="1060"/>
      <c r="B30" s="1063"/>
      <c r="C30" s="1063"/>
      <c r="D30" s="1063"/>
    </row>
    <row r="31" spans="1:4" ht="10.8" thickBot="1">
      <c r="A31" s="1064" t="s">
        <v>329</v>
      </c>
      <c r="B31" s="1069">
        <v>13315</v>
      </c>
      <c r="C31" s="1069">
        <v>16361</v>
      </c>
      <c r="D31" s="1069">
        <v>16793</v>
      </c>
    </row>
    <row r="32" spans="1:4" ht="10.8" thickTop="1"/>
    <row r="33" spans="1:4">
      <c r="A33" s="1071" t="s">
        <v>826</v>
      </c>
      <c r="B33" s="1072"/>
      <c r="C33" s="1072"/>
      <c r="D33" s="1071" t="s">
        <v>990</v>
      </c>
    </row>
    <row r="34" spans="1:4">
      <c r="A34" s="1061" t="s">
        <v>22</v>
      </c>
      <c r="B34" s="1072"/>
      <c r="C34" s="1072"/>
      <c r="D34" s="1061" t="s">
        <v>1356</v>
      </c>
    </row>
  </sheetData>
  <mergeCells count="5">
    <mergeCell ref="C8:D8"/>
    <mergeCell ref="A3:D3"/>
    <mergeCell ref="A4:D4"/>
    <mergeCell ref="A5:D5"/>
    <mergeCell ref="A6:D6"/>
  </mergeCells>
  <printOptions horizontalCentered="1"/>
  <pageMargins left="0.7" right="0.7" top="0.75" bottom="0.75" header="0.3" footer="0.3"/>
  <pageSetup fitToHeight="0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F6BB-B5C4-4D0A-8DD8-DC0F7926F4A7}">
  <sheetPr>
    <tabColor rgb="FFFFFFCC"/>
  </sheetPr>
  <dimension ref="A1:D42"/>
  <sheetViews>
    <sheetView showGridLines="0" zoomScaleNormal="100" zoomScaleSheetLayoutView="100" workbookViewId="0"/>
  </sheetViews>
  <sheetFormatPr defaultColWidth="9.109375" defaultRowHeight="10.199999999999999"/>
  <cols>
    <col min="1" max="1" width="30.6640625" style="1059" customWidth="1"/>
    <col min="2" max="4" width="15.6640625" style="1059" customWidth="1"/>
    <col min="5" max="16384" width="9.109375" style="1059"/>
  </cols>
  <sheetData>
    <row r="1" spans="1:4">
      <c r="D1" s="1058" t="s">
        <v>1357</v>
      </c>
    </row>
    <row r="2" spans="1:4">
      <c r="D2" s="1058" t="s">
        <v>797</v>
      </c>
    </row>
    <row r="3" spans="1:4">
      <c r="A3" s="1202" t="s">
        <v>366</v>
      </c>
      <c r="B3" s="1202"/>
      <c r="C3" s="1202"/>
      <c r="D3" s="1202"/>
    </row>
    <row r="4" spans="1:4">
      <c r="A4" s="1202" t="s">
        <v>1798</v>
      </c>
      <c r="B4" s="1202"/>
      <c r="C4" s="1202"/>
      <c r="D4" s="1202"/>
    </row>
    <row r="5" spans="1:4">
      <c r="A5" s="1201" t="s">
        <v>1781</v>
      </c>
      <c r="B5" s="1201"/>
      <c r="C5" s="1201"/>
      <c r="D5" s="1201"/>
    </row>
    <row r="6" spans="1:4">
      <c r="B6" s="1057"/>
      <c r="C6" s="1057"/>
      <c r="D6" s="1057"/>
    </row>
    <row r="7" spans="1:4">
      <c r="A7" s="1060"/>
      <c r="B7" s="1061" t="s">
        <v>1258</v>
      </c>
      <c r="C7" s="1209" t="s">
        <v>1297</v>
      </c>
      <c r="D7" s="1209"/>
    </row>
    <row r="8" spans="1:4">
      <c r="A8" s="1078" t="s">
        <v>0</v>
      </c>
      <c r="B8" s="1062">
        <v>2024</v>
      </c>
      <c r="C8" s="1062">
        <v>2023</v>
      </c>
      <c r="D8" s="1062">
        <v>2022</v>
      </c>
    </row>
    <row r="9" spans="1:4">
      <c r="A9" s="1073"/>
      <c r="B9" s="1074"/>
      <c r="C9" s="1074"/>
      <c r="D9" s="1074"/>
    </row>
    <row r="10" spans="1:4">
      <c r="A10" s="1064" t="s">
        <v>1792</v>
      </c>
      <c r="B10" s="1063"/>
      <c r="C10" s="1063"/>
      <c r="D10" s="1063"/>
    </row>
    <row r="11" spans="1:4">
      <c r="A11" s="1064" t="s">
        <v>1793</v>
      </c>
      <c r="B11" s="1065">
        <v>84362416</v>
      </c>
      <c r="C11" s="1065">
        <v>91103653</v>
      </c>
      <c r="D11" s="1065">
        <v>87261732</v>
      </c>
    </row>
    <row r="12" spans="1:4">
      <c r="A12" s="1064" t="s">
        <v>1794</v>
      </c>
      <c r="B12" s="1065">
        <v>35124523</v>
      </c>
      <c r="C12" s="1065">
        <v>36625140</v>
      </c>
      <c r="D12" s="1065">
        <v>34940997</v>
      </c>
    </row>
    <row r="13" spans="1:4">
      <c r="A13" s="1064" t="s">
        <v>1795</v>
      </c>
      <c r="B13" s="1065">
        <v>2575607</v>
      </c>
      <c r="C13" s="1065">
        <v>2385312</v>
      </c>
      <c r="D13" s="1065">
        <v>2598042</v>
      </c>
    </row>
    <row r="14" spans="1:4">
      <c r="A14" s="1064" t="s">
        <v>1789</v>
      </c>
      <c r="B14" s="1065">
        <v>5786093</v>
      </c>
      <c r="C14" s="1065">
        <v>6228885</v>
      </c>
      <c r="D14" s="1065">
        <v>6137813</v>
      </c>
    </row>
    <row r="15" spans="1:4" ht="10.8" thickBot="1">
      <c r="A15" s="1064" t="s">
        <v>16</v>
      </c>
      <c r="B15" s="1114">
        <v>127848639</v>
      </c>
      <c r="C15" s="1114">
        <v>136342990</v>
      </c>
      <c r="D15" s="1114">
        <v>130938584</v>
      </c>
    </row>
    <row r="16" spans="1:4" ht="10.8" thickTop="1">
      <c r="A16" s="1073"/>
      <c r="B16" s="1074"/>
      <c r="C16" s="1074"/>
      <c r="D16" s="1074"/>
    </row>
    <row r="17" spans="1:4">
      <c r="A17" s="1064" t="s">
        <v>1358</v>
      </c>
      <c r="B17" s="1063"/>
      <c r="C17" s="1063"/>
      <c r="D17" s="1063"/>
    </row>
    <row r="18" spans="1:4">
      <c r="A18" s="511" t="s">
        <v>1793</v>
      </c>
      <c r="B18" s="1065">
        <v>156042</v>
      </c>
      <c r="C18" s="1065">
        <v>155485</v>
      </c>
      <c r="D18" s="1065">
        <v>153884</v>
      </c>
    </row>
    <row r="19" spans="1:4">
      <c r="A19" s="511" t="s">
        <v>1794</v>
      </c>
      <c r="B19" s="1065">
        <v>12198</v>
      </c>
      <c r="C19" s="1065">
        <v>12175</v>
      </c>
      <c r="D19" s="1065">
        <v>12113</v>
      </c>
    </row>
    <row r="20" spans="1:4">
      <c r="A20" s="511" t="s">
        <v>1795</v>
      </c>
      <c r="B20" s="1065">
        <v>29</v>
      </c>
      <c r="C20" s="1065">
        <v>28</v>
      </c>
      <c r="D20" s="1065">
        <v>26</v>
      </c>
    </row>
    <row r="21" spans="1:4">
      <c r="A21" s="511" t="s">
        <v>1789</v>
      </c>
      <c r="B21" s="1065">
        <v>1048</v>
      </c>
      <c r="C21" s="1065">
        <v>1051</v>
      </c>
      <c r="D21" s="1065">
        <v>1055</v>
      </c>
    </row>
    <row r="22" spans="1:4" ht="10.8" thickBot="1">
      <c r="A22" s="1064" t="s">
        <v>16</v>
      </c>
      <c r="B22" s="1077">
        <v>169317</v>
      </c>
      <c r="C22" s="1077">
        <v>168739</v>
      </c>
      <c r="D22" s="1077">
        <v>167078</v>
      </c>
    </row>
    <row r="23" spans="1:4" ht="10.8" thickTop="1">
      <c r="A23" s="1073"/>
      <c r="B23" s="1074"/>
      <c r="C23" s="1074"/>
      <c r="D23" s="1074"/>
    </row>
    <row r="24" spans="1:4">
      <c r="A24" s="1064" t="s">
        <v>1796</v>
      </c>
      <c r="B24" s="1063"/>
      <c r="C24" s="1063"/>
      <c r="D24" s="1063"/>
    </row>
    <row r="25" spans="1:4">
      <c r="A25" s="511" t="s">
        <v>1793</v>
      </c>
      <c r="B25" s="1065">
        <v>541</v>
      </c>
      <c r="C25" s="1065">
        <v>586</v>
      </c>
      <c r="D25" s="1065">
        <v>567</v>
      </c>
    </row>
    <row r="26" spans="1:4">
      <c r="A26" s="511" t="s">
        <v>1794</v>
      </c>
      <c r="B26" s="1065">
        <v>2880</v>
      </c>
      <c r="C26" s="1065">
        <v>3008</v>
      </c>
      <c r="D26" s="1065">
        <v>2885</v>
      </c>
    </row>
    <row r="27" spans="1:4">
      <c r="A27" s="511" t="s">
        <v>1795</v>
      </c>
      <c r="B27" s="1065">
        <v>88814</v>
      </c>
      <c r="C27" s="1065">
        <v>85190</v>
      </c>
      <c r="D27" s="1065">
        <v>99925</v>
      </c>
    </row>
    <row r="28" spans="1:4">
      <c r="A28" s="511" t="s">
        <v>1789</v>
      </c>
      <c r="B28" s="1065">
        <v>5521</v>
      </c>
      <c r="C28" s="1065">
        <v>5927</v>
      </c>
      <c r="D28" s="1065">
        <v>5818</v>
      </c>
    </row>
    <row r="29" spans="1:4" ht="10.8" thickBot="1">
      <c r="A29" s="1064" t="s">
        <v>16</v>
      </c>
      <c r="B29" s="1114">
        <v>755</v>
      </c>
      <c r="C29" s="1114">
        <v>808</v>
      </c>
      <c r="D29" s="1114">
        <v>784</v>
      </c>
    </row>
    <row r="30" spans="1:4" ht="10.8" thickTop="1">
      <c r="A30" s="1073"/>
      <c r="B30" s="1088"/>
      <c r="C30" s="1088"/>
      <c r="D30" s="1088"/>
    </row>
    <row r="31" spans="1:4">
      <c r="A31" s="1210" t="s">
        <v>1797</v>
      </c>
      <c r="B31" s="1210"/>
      <c r="C31" s="1210"/>
      <c r="D31" s="1210"/>
    </row>
    <row r="32" spans="1:4">
      <c r="A32" s="511"/>
      <c r="B32" s="1089"/>
      <c r="C32" s="1089"/>
      <c r="D32" s="1089"/>
    </row>
    <row r="33" spans="1:4">
      <c r="A33" s="511" t="s">
        <v>1792</v>
      </c>
      <c r="B33" s="1089">
        <v>35528864</v>
      </c>
      <c r="C33" s="1089">
        <v>34155958</v>
      </c>
      <c r="D33" s="1089">
        <v>31530567</v>
      </c>
    </row>
    <row r="34" spans="1:4">
      <c r="A34" s="511" t="s">
        <v>1358</v>
      </c>
      <c r="B34" s="1089">
        <v>24</v>
      </c>
      <c r="C34" s="1089">
        <v>24</v>
      </c>
      <c r="D34" s="1089">
        <v>24</v>
      </c>
    </row>
    <row r="35" spans="1:4" ht="10.8" thickBot="1">
      <c r="A35" s="511" t="s">
        <v>1796</v>
      </c>
      <c r="B35" s="1090">
        <f>ROUND(B33/B34,0)</f>
        <v>1480369</v>
      </c>
      <c r="C35" s="1090">
        <f>ROUND(C33/C34,0)</f>
        <v>1423165</v>
      </c>
      <c r="D35" s="1090">
        <f>ROUND(D33/D34,0)</f>
        <v>1313774</v>
      </c>
    </row>
    <row r="36" spans="1:4" ht="10.8" thickTop="1">
      <c r="A36" s="1073"/>
      <c r="B36" s="1074"/>
      <c r="C36" s="1074"/>
      <c r="D36" s="1074"/>
    </row>
    <row r="37" spans="1:4">
      <c r="A37" s="1073"/>
      <c r="B37" s="1091"/>
      <c r="C37" s="1091"/>
      <c r="D37" s="1091"/>
    </row>
    <row r="38" spans="1:4">
      <c r="B38" s="1208"/>
      <c r="C38" s="1208"/>
      <c r="D38" s="1208"/>
    </row>
    <row r="39" spans="1:4">
      <c r="A39" s="1064"/>
      <c r="B39" s="1208"/>
      <c r="C39" s="1208"/>
      <c r="D39" s="1208"/>
    </row>
    <row r="40" spans="1:4">
      <c r="A40" s="1073"/>
      <c r="B40" s="1074"/>
      <c r="C40" s="1074"/>
      <c r="D40" s="1074"/>
    </row>
    <row r="41" spans="1:4">
      <c r="A41" s="1084" t="s">
        <v>826</v>
      </c>
      <c r="B41" s="1085"/>
      <c r="C41" s="1085"/>
      <c r="D41" s="1084" t="s">
        <v>990</v>
      </c>
    </row>
    <row r="42" spans="1:4">
      <c r="A42" s="1085" t="s">
        <v>22</v>
      </c>
      <c r="B42" s="1085"/>
      <c r="C42" s="1085"/>
      <c r="D42" s="1085" t="s">
        <v>22</v>
      </c>
    </row>
  </sheetData>
  <mergeCells count="8">
    <mergeCell ref="A3:D3"/>
    <mergeCell ref="B38:B39"/>
    <mergeCell ref="C38:C39"/>
    <mergeCell ref="D38:D39"/>
    <mergeCell ref="A4:D4"/>
    <mergeCell ref="A5:D5"/>
    <mergeCell ref="C7:D7"/>
    <mergeCell ref="A31:D31"/>
  </mergeCells>
  <printOptions horizontalCentered="1"/>
  <pageMargins left="0.7" right="0.7" top="0.75" bottom="0.75" header="0.3" footer="0.3"/>
  <pageSetup fitToHeight="0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B7BCB-20EB-4FD8-90B8-134E41F30CF0}">
  <sheetPr>
    <tabColor rgb="FFFFFFCC"/>
  </sheetPr>
  <dimension ref="A1:D40"/>
  <sheetViews>
    <sheetView showGridLines="0" zoomScaleNormal="100" zoomScaleSheetLayoutView="100" workbookViewId="0"/>
  </sheetViews>
  <sheetFormatPr defaultColWidth="9.109375" defaultRowHeight="10.199999999999999"/>
  <cols>
    <col min="1" max="1" width="30.6640625" style="1059" customWidth="1"/>
    <col min="2" max="4" width="15.6640625" style="1059" customWidth="1"/>
    <col min="5" max="16384" width="9.109375" style="1059"/>
  </cols>
  <sheetData>
    <row r="1" spans="1:4">
      <c r="D1" s="1058" t="s">
        <v>1359</v>
      </c>
    </row>
    <row r="2" spans="1:4">
      <c r="D2" s="1058" t="s">
        <v>797</v>
      </c>
    </row>
    <row r="3" spans="1:4">
      <c r="A3" s="1202" t="s">
        <v>366</v>
      </c>
      <c r="B3" s="1202"/>
      <c r="C3" s="1202"/>
      <c r="D3" s="1202"/>
    </row>
    <row r="4" spans="1:4">
      <c r="A4" s="1202" t="s">
        <v>1360</v>
      </c>
      <c r="B4" s="1202"/>
      <c r="C4" s="1202"/>
      <c r="D4" s="1202"/>
    </row>
    <row r="5" spans="1:4">
      <c r="A5" s="1201" t="s">
        <v>1781</v>
      </c>
      <c r="B5" s="1201"/>
      <c r="C5" s="1201"/>
      <c r="D5" s="1201"/>
    </row>
    <row r="6" spans="1:4">
      <c r="B6" s="1057"/>
      <c r="C6" s="1057"/>
      <c r="D6" s="1057"/>
    </row>
    <row r="7" spans="1:4">
      <c r="A7" s="1073"/>
      <c r="B7" s="1061" t="s">
        <v>1258</v>
      </c>
      <c r="C7" s="1212" t="s">
        <v>1297</v>
      </c>
      <c r="D7" s="1212"/>
    </row>
    <row r="8" spans="1:4">
      <c r="A8" s="1094" t="s">
        <v>0</v>
      </c>
      <c r="B8" s="1062">
        <v>2024</v>
      </c>
      <c r="C8" s="1062">
        <v>2023</v>
      </c>
      <c r="D8" s="1062">
        <v>2022</v>
      </c>
    </row>
    <row r="9" spans="1:4">
      <c r="A9" s="1073"/>
      <c r="B9" s="1074"/>
      <c r="C9" s="1074"/>
      <c r="D9" s="1074"/>
    </row>
    <row r="10" spans="1:4">
      <c r="A10" s="1073" t="s">
        <v>1361</v>
      </c>
      <c r="B10" s="1074"/>
      <c r="C10" s="1074"/>
      <c r="D10" s="1074"/>
    </row>
    <row r="11" spans="1:4">
      <c r="A11" s="1073" t="s">
        <v>1362</v>
      </c>
      <c r="B11" s="1091">
        <v>1529243.54</v>
      </c>
      <c r="C11" s="1091">
        <v>2433319.8899999997</v>
      </c>
      <c r="D11" s="1091">
        <v>2967704.51</v>
      </c>
    </row>
    <row r="12" spans="1:4">
      <c r="A12" s="1073" t="s">
        <v>1363</v>
      </c>
      <c r="B12" s="1091">
        <v>4561</v>
      </c>
      <c r="C12" s="1091">
        <v>4530</v>
      </c>
      <c r="D12" s="1091">
        <v>4555</v>
      </c>
    </row>
    <row r="13" spans="1:4">
      <c r="A13" s="1073" t="s">
        <v>1364</v>
      </c>
      <c r="B13" s="1091">
        <v>680045</v>
      </c>
      <c r="C13" s="1091">
        <v>667400</v>
      </c>
      <c r="D13" s="1091">
        <v>604768</v>
      </c>
    </row>
    <row r="14" spans="1:4">
      <c r="A14" s="1073" t="s">
        <v>1365</v>
      </c>
      <c r="B14" s="1091">
        <v>1776519.39</v>
      </c>
      <c r="C14" s="1091">
        <v>2532783.88</v>
      </c>
      <c r="D14" s="1091">
        <v>3204588.86</v>
      </c>
    </row>
    <row r="15" spans="1:4">
      <c r="A15" s="1073" t="s">
        <v>1366</v>
      </c>
      <c r="B15" s="1091">
        <v>-1701859.51</v>
      </c>
      <c r="C15" s="1091">
        <v>-2293791.4700000002</v>
      </c>
      <c r="D15" s="1091">
        <v>-3450474.77</v>
      </c>
    </row>
    <row r="16" spans="1:4">
      <c r="A16" s="1073" t="s">
        <v>16</v>
      </c>
      <c r="B16" s="1092">
        <f>SUM(B11:B15)</f>
        <v>2288509.42</v>
      </c>
      <c r="C16" s="1092">
        <f>SUM(C11:C15)</f>
        <v>3344242.2999999993</v>
      </c>
      <c r="D16" s="1092">
        <f>SUM(D11:D15)</f>
        <v>3331141.5999999992</v>
      </c>
    </row>
    <row r="17" spans="1:4">
      <c r="A17" s="1073"/>
      <c r="B17" s="1074"/>
      <c r="C17" s="1074"/>
      <c r="D17" s="1074"/>
    </row>
    <row r="18" spans="1:4">
      <c r="A18" s="1073" t="s">
        <v>1367</v>
      </c>
      <c r="B18" s="1074"/>
      <c r="C18" s="1074"/>
      <c r="D18" s="1074"/>
    </row>
    <row r="19" spans="1:4">
      <c r="A19" s="1073" t="s">
        <v>1368</v>
      </c>
      <c r="B19" s="1091">
        <v>254324.13000000003</v>
      </c>
      <c r="C19" s="1091">
        <v>425237.49000000005</v>
      </c>
      <c r="D19" s="1091">
        <v>550308.98</v>
      </c>
    </row>
    <row r="20" spans="1:4">
      <c r="A20" s="1073" t="s">
        <v>1363</v>
      </c>
      <c r="B20" s="1091">
        <v>3040</v>
      </c>
      <c r="C20" s="1091">
        <v>963</v>
      </c>
      <c r="D20" s="1091">
        <v>1013</v>
      </c>
    </row>
    <row r="21" spans="1:4">
      <c r="A21" s="1073" t="s">
        <v>1369</v>
      </c>
      <c r="B21" s="1091">
        <v>646091.45000000007</v>
      </c>
      <c r="C21" s="1091">
        <v>849404.21</v>
      </c>
      <c r="D21" s="1091">
        <v>924084.6</v>
      </c>
    </row>
    <row r="22" spans="1:4">
      <c r="A22" s="1073" t="s">
        <v>1370</v>
      </c>
      <c r="B22" s="1091">
        <v>-441811.21</v>
      </c>
      <c r="C22" s="1091">
        <v>-566641.34</v>
      </c>
      <c r="D22" s="1091">
        <v>-766924.06</v>
      </c>
    </row>
    <row r="23" spans="1:4">
      <c r="A23" s="1073" t="s">
        <v>16</v>
      </c>
      <c r="B23" s="1092">
        <f>SUM(B19:B22)</f>
        <v>461644.37000000005</v>
      </c>
      <c r="C23" s="1092">
        <f>SUM(C19:C22)</f>
        <v>708963.36</v>
      </c>
      <c r="D23" s="1092">
        <f>SUM(D19:D22)</f>
        <v>708482.52</v>
      </c>
    </row>
    <row r="24" spans="1:4">
      <c r="A24" s="1073"/>
      <c r="B24" s="1074"/>
      <c r="C24" s="1074"/>
      <c r="D24" s="1074"/>
    </row>
    <row r="25" spans="1:4">
      <c r="A25" s="1073" t="s">
        <v>1371</v>
      </c>
      <c r="B25" s="1074"/>
      <c r="C25" s="1074"/>
      <c r="D25" s="1074"/>
    </row>
    <row r="26" spans="1:4">
      <c r="A26" s="1073" t="s">
        <v>1372</v>
      </c>
      <c r="B26" s="1091">
        <v>4295316</v>
      </c>
      <c r="C26" s="1091">
        <v>4183649.4599999995</v>
      </c>
      <c r="D26" s="1091">
        <v>4269324</v>
      </c>
    </row>
    <row r="27" spans="1:4">
      <c r="A27" s="1073" t="s">
        <v>1373</v>
      </c>
      <c r="B27" s="1091">
        <v>176353.37</v>
      </c>
      <c r="C27" s="1091">
        <v>168713.85</v>
      </c>
      <c r="D27" s="1091">
        <v>154637.47000000003</v>
      </c>
    </row>
    <row r="28" spans="1:4">
      <c r="A28" s="1073" t="s">
        <v>16</v>
      </c>
      <c r="B28" s="1092">
        <f>SUM(B26:B27)</f>
        <v>4471669.37</v>
      </c>
      <c r="C28" s="1092">
        <f>SUM(C26:C27)</f>
        <v>4352363.3099999996</v>
      </c>
      <c r="D28" s="1092">
        <f>SUM(D26:D27)</f>
        <v>4423961.47</v>
      </c>
    </row>
    <row r="29" spans="1:4">
      <c r="A29" s="1073"/>
      <c r="B29" s="1074"/>
      <c r="C29" s="1074"/>
      <c r="D29" s="1074"/>
    </row>
    <row r="30" spans="1:4" ht="10.8" thickBot="1">
      <c r="A30" s="1073" t="s">
        <v>1374</v>
      </c>
      <c r="B30" s="1093">
        <f>B16+B23+B28</f>
        <v>7221823.1600000001</v>
      </c>
      <c r="C30" s="1093">
        <f>C16+C23+C28</f>
        <v>8405568.9699999988</v>
      </c>
      <c r="D30" s="1093">
        <f>D16+D23+D28</f>
        <v>8463585.5899999999</v>
      </c>
    </row>
    <row r="31" spans="1:4" ht="10.8" thickTop="1">
      <c r="A31" s="1073"/>
      <c r="B31" s="1074"/>
      <c r="C31" s="1074"/>
      <c r="D31" s="1074"/>
    </row>
    <row r="32" spans="1:4">
      <c r="A32" s="1211"/>
      <c r="B32" s="1211"/>
      <c r="C32" s="1211"/>
      <c r="D32" s="1211"/>
    </row>
    <row r="33" spans="1:4">
      <c r="A33" s="1073"/>
      <c r="B33" s="1073"/>
      <c r="C33" s="1073"/>
      <c r="D33" s="1073"/>
    </row>
    <row r="34" spans="1:4">
      <c r="A34" s="1084" t="s">
        <v>826</v>
      </c>
      <c r="B34" s="1073"/>
      <c r="C34" s="1073"/>
      <c r="D34" s="1084" t="s">
        <v>990</v>
      </c>
    </row>
    <row r="35" spans="1:4">
      <c r="A35" s="1085" t="s">
        <v>22</v>
      </c>
      <c r="B35" s="1073"/>
      <c r="C35" s="1073"/>
      <c r="D35" s="1085" t="s">
        <v>1356</v>
      </c>
    </row>
    <row r="39" spans="1:4">
      <c r="B39" s="1115"/>
      <c r="C39" s="1115"/>
      <c r="D39" s="1115"/>
    </row>
    <row r="40" spans="1:4">
      <c r="B40" s="1066"/>
      <c r="C40" s="1066"/>
      <c r="D40" s="1066"/>
    </row>
  </sheetData>
  <mergeCells count="5">
    <mergeCell ref="A3:D3"/>
    <mergeCell ref="A32:D32"/>
    <mergeCell ref="A4:D4"/>
    <mergeCell ref="A5:D5"/>
    <mergeCell ref="C7:D7"/>
  </mergeCells>
  <printOptions horizontalCentered="1"/>
  <pageMargins left="0.7" right="0.7" top="0.75" bottom="0.75" header="0.3" footer="0.3"/>
  <pageSetup fitToHeight="0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AE4C-A8A2-4250-9E24-E9C0E2E688DE}">
  <sheetPr>
    <tabColor rgb="FFFFFFCC"/>
  </sheetPr>
  <dimension ref="A1:G27"/>
  <sheetViews>
    <sheetView showGridLines="0" zoomScaleNormal="100" zoomScaleSheetLayoutView="100" workbookViewId="0"/>
  </sheetViews>
  <sheetFormatPr defaultColWidth="7" defaultRowHeight="10.199999999999999"/>
  <cols>
    <col min="1" max="2" width="10.109375" style="156" customWidth="1"/>
    <col min="3" max="3" width="11.5546875" style="156" customWidth="1"/>
    <col min="4" max="4" width="13.88671875" style="156" customWidth="1"/>
    <col min="5" max="5" width="11.5546875" style="156" customWidth="1"/>
    <col min="6" max="7" width="10.109375" style="156" customWidth="1"/>
    <col min="8" max="16384" width="7" style="156"/>
  </cols>
  <sheetData>
    <row r="1" spans="1:7">
      <c r="G1" s="496" t="s">
        <v>1375</v>
      </c>
    </row>
    <row r="2" spans="1:7">
      <c r="G2" s="485" t="s">
        <v>797</v>
      </c>
    </row>
    <row r="3" spans="1:7">
      <c r="A3" s="1183" t="s">
        <v>366</v>
      </c>
      <c r="B3" s="1183"/>
      <c r="C3" s="1183"/>
      <c r="D3" s="1183"/>
      <c r="E3" s="1183"/>
      <c r="F3" s="1183"/>
      <c r="G3" s="1183"/>
    </row>
    <row r="4" spans="1:7">
      <c r="A4" s="1166" t="s">
        <v>1427</v>
      </c>
      <c r="B4" s="1166"/>
      <c r="C4" s="1166"/>
      <c r="D4" s="1166"/>
      <c r="E4" s="1166"/>
      <c r="F4" s="1166"/>
      <c r="G4" s="1166"/>
    </row>
    <row r="5" spans="1:7">
      <c r="A5" s="1166" t="s">
        <v>1376</v>
      </c>
      <c r="B5" s="1166"/>
      <c r="C5" s="1166"/>
      <c r="D5" s="1166"/>
      <c r="E5" s="1166"/>
      <c r="F5" s="1166"/>
      <c r="G5" s="1166"/>
    </row>
    <row r="7" spans="1:7">
      <c r="A7" s="486"/>
      <c r="B7" s="486"/>
      <c r="C7" s="486"/>
      <c r="D7" s="157"/>
      <c r="E7" s="486"/>
      <c r="F7" s="486"/>
      <c r="G7" s="486"/>
    </row>
    <row r="10" spans="1:7">
      <c r="D10" s="486"/>
      <c r="E10" s="486"/>
      <c r="F10" s="486"/>
      <c r="G10" s="486"/>
    </row>
    <row r="11" spans="1:7">
      <c r="D11" s="486"/>
      <c r="E11" s="486"/>
      <c r="F11" s="486"/>
      <c r="G11" s="486"/>
    </row>
    <row r="12" spans="1:7">
      <c r="C12" s="486"/>
      <c r="D12" s="486"/>
      <c r="E12" s="486"/>
      <c r="F12" s="486"/>
      <c r="G12" s="486"/>
    </row>
    <row r="13" spans="1:7">
      <c r="A13" s="1166" t="s">
        <v>1892</v>
      </c>
      <c r="B13" s="1166"/>
      <c r="C13" s="1166"/>
      <c r="D13" s="1166"/>
      <c r="E13" s="1166"/>
      <c r="F13" s="1166"/>
      <c r="G13" s="1166"/>
    </row>
    <row r="14" spans="1:7">
      <c r="C14" s="794"/>
      <c r="D14" s="486"/>
      <c r="E14" s="486"/>
      <c r="F14" s="486"/>
      <c r="G14" s="486"/>
    </row>
    <row r="17" spans="3:5">
      <c r="C17" s="1095"/>
    </row>
    <row r="26" spans="3:5">
      <c r="C26" s="695" t="s">
        <v>826</v>
      </c>
      <c r="D26" s="1096"/>
      <c r="E26" s="512" t="s">
        <v>990</v>
      </c>
    </row>
    <row r="27" spans="3:5">
      <c r="C27" s="160" t="s">
        <v>22</v>
      </c>
      <c r="D27" s="486"/>
      <c r="E27" s="160" t="s">
        <v>22</v>
      </c>
    </row>
  </sheetData>
  <mergeCells count="4">
    <mergeCell ref="A13:G13"/>
    <mergeCell ref="A4:G4"/>
    <mergeCell ref="A5:G5"/>
    <mergeCell ref="A3:G3"/>
  </mergeCells>
  <printOptions horizontalCentered="1"/>
  <pageMargins left="0.7" right="0.7" top="0.75" bottom="0.75" header="0.3" footer="0.3"/>
  <pageSetup fitToHeight="0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49692-4BFF-4452-9CE3-89DA66316FD8}">
  <sheetPr transitionEvaluation="1" transitionEntry="1">
    <tabColor rgb="FFFFFFCC"/>
  </sheetPr>
  <dimension ref="A1:U130"/>
  <sheetViews>
    <sheetView showGridLines="0" zoomScaleNormal="100" zoomScaleSheetLayoutView="100" workbookViewId="0"/>
  </sheetViews>
  <sheetFormatPr defaultRowHeight="8.4"/>
  <cols>
    <col min="1" max="1" width="4.33203125" style="795" customWidth="1"/>
    <col min="2" max="2" width="2.88671875" style="796" customWidth="1"/>
    <col min="3" max="3" width="42.109375" style="796" customWidth="1"/>
    <col min="4" max="4" width="4.33203125" style="797" customWidth="1"/>
    <col min="5" max="5" width="14.44140625" style="797" customWidth="1"/>
    <col min="6" max="6" width="2.88671875" style="797" customWidth="1"/>
    <col min="7" max="7" width="12.109375" style="797" customWidth="1"/>
    <col min="8" max="8" width="2.88671875" style="797" customWidth="1"/>
    <col min="9" max="9" width="12.109375" style="797" customWidth="1"/>
    <col min="10" max="10" width="2.88671875" style="797" customWidth="1"/>
    <col min="11" max="11" width="4.33203125" style="837" customWidth="1"/>
    <col min="12" max="12" width="4.33203125" style="797" customWidth="1"/>
    <col min="13" max="13" width="12" style="797" customWidth="1"/>
    <col min="14" max="14" width="9.88671875" style="799" customWidth="1"/>
    <col min="15" max="15" width="11.109375" style="799" customWidth="1"/>
    <col min="16" max="21" width="8.6640625" style="799"/>
    <col min="22" max="256" width="8.6640625" style="797"/>
    <col min="257" max="257" width="4.33203125" style="797" customWidth="1"/>
    <col min="258" max="258" width="2.88671875" style="797" customWidth="1"/>
    <col min="259" max="259" width="42.109375" style="797" customWidth="1"/>
    <col min="260" max="260" width="4.33203125" style="797" customWidth="1"/>
    <col min="261" max="261" width="14.44140625" style="797" customWidth="1"/>
    <col min="262" max="262" width="2.88671875" style="797" customWidth="1"/>
    <col min="263" max="263" width="12.109375" style="797" customWidth="1"/>
    <col min="264" max="264" width="2.88671875" style="797" customWidth="1"/>
    <col min="265" max="265" width="12.109375" style="797" customWidth="1"/>
    <col min="266" max="266" width="2.88671875" style="797" customWidth="1"/>
    <col min="267" max="268" width="4.33203125" style="797" customWidth="1"/>
    <col min="269" max="269" width="12" style="797" customWidth="1"/>
    <col min="270" max="270" width="9.88671875" style="797" customWidth="1"/>
    <col min="271" max="271" width="11.109375" style="797" customWidth="1"/>
    <col min="272" max="512" width="8.6640625" style="797"/>
    <col min="513" max="513" width="4.33203125" style="797" customWidth="1"/>
    <col min="514" max="514" width="2.88671875" style="797" customWidth="1"/>
    <col min="515" max="515" width="42.109375" style="797" customWidth="1"/>
    <col min="516" max="516" width="4.33203125" style="797" customWidth="1"/>
    <col min="517" max="517" width="14.44140625" style="797" customWidth="1"/>
    <col min="518" max="518" width="2.88671875" style="797" customWidth="1"/>
    <col min="519" max="519" width="12.109375" style="797" customWidth="1"/>
    <col min="520" max="520" width="2.88671875" style="797" customWidth="1"/>
    <col min="521" max="521" width="12.109375" style="797" customWidth="1"/>
    <col min="522" max="522" width="2.88671875" style="797" customWidth="1"/>
    <col min="523" max="524" width="4.33203125" style="797" customWidth="1"/>
    <col min="525" max="525" width="12" style="797" customWidth="1"/>
    <col min="526" max="526" width="9.88671875" style="797" customWidth="1"/>
    <col min="527" max="527" width="11.109375" style="797" customWidth="1"/>
    <col min="528" max="768" width="8.6640625" style="797"/>
    <col min="769" max="769" width="4.33203125" style="797" customWidth="1"/>
    <col min="770" max="770" width="2.88671875" style="797" customWidth="1"/>
    <col min="771" max="771" width="42.109375" style="797" customWidth="1"/>
    <col min="772" max="772" width="4.33203125" style="797" customWidth="1"/>
    <col min="773" max="773" width="14.44140625" style="797" customWidth="1"/>
    <col min="774" max="774" width="2.88671875" style="797" customWidth="1"/>
    <col min="775" max="775" width="12.109375" style="797" customWidth="1"/>
    <col min="776" max="776" width="2.88671875" style="797" customWidth="1"/>
    <col min="777" max="777" width="12.109375" style="797" customWidth="1"/>
    <col min="778" max="778" width="2.88671875" style="797" customWidth="1"/>
    <col min="779" max="780" width="4.33203125" style="797" customWidth="1"/>
    <col min="781" max="781" width="12" style="797" customWidth="1"/>
    <col min="782" max="782" width="9.88671875" style="797" customWidth="1"/>
    <col min="783" max="783" width="11.109375" style="797" customWidth="1"/>
    <col min="784" max="1024" width="8.6640625" style="797"/>
    <col min="1025" max="1025" width="4.33203125" style="797" customWidth="1"/>
    <col min="1026" max="1026" width="2.88671875" style="797" customWidth="1"/>
    <col min="1027" max="1027" width="42.109375" style="797" customWidth="1"/>
    <col min="1028" max="1028" width="4.33203125" style="797" customWidth="1"/>
    <col min="1029" max="1029" width="14.44140625" style="797" customWidth="1"/>
    <col min="1030" max="1030" width="2.88671875" style="797" customWidth="1"/>
    <col min="1031" max="1031" width="12.109375" style="797" customWidth="1"/>
    <col min="1032" max="1032" width="2.88671875" style="797" customWidth="1"/>
    <col min="1033" max="1033" width="12.109375" style="797" customWidth="1"/>
    <col min="1034" max="1034" width="2.88671875" style="797" customWidth="1"/>
    <col min="1035" max="1036" width="4.33203125" style="797" customWidth="1"/>
    <col min="1037" max="1037" width="12" style="797" customWidth="1"/>
    <col min="1038" max="1038" width="9.88671875" style="797" customWidth="1"/>
    <col min="1039" max="1039" width="11.109375" style="797" customWidth="1"/>
    <col min="1040" max="1280" width="8.6640625" style="797"/>
    <col min="1281" max="1281" width="4.33203125" style="797" customWidth="1"/>
    <col min="1282" max="1282" width="2.88671875" style="797" customWidth="1"/>
    <col min="1283" max="1283" width="42.109375" style="797" customWidth="1"/>
    <col min="1284" max="1284" width="4.33203125" style="797" customWidth="1"/>
    <col min="1285" max="1285" width="14.44140625" style="797" customWidth="1"/>
    <col min="1286" max="1286" width="2.88671875" style="797" customWidth="1"/>
    <col min="1287" max="1287" width="12.109375" style="797" customWidth="1"/>
    <col min="1288" max="1288" width="2.88671875" style="797" customWidth="1"/>
    <col min="1289" max="1289" width="12.109375" style="797" customWidth="1"/>
    <col min="1290" max="1290" width="2.88671875" style="797" customWidth="1"/>
    <col min="1291" max="1292" width="4.33203125" style="797" customWidth="1"/>
    <col min="1293" max="1293" width="12" style="797" customWidth="1"/>
    <col min="1294" max="1294" width="9.88671875" style="797" customWidth="1"/>
    <col min="1295" max="1295" width="11.109375" style="797" customWidth="1"/>
    <col min="1296" max="1536" width="8.6640625" style="797"/>
    <col min="1537" max="1537" width="4.33203125" style="797" customWidth="1"/>
    <col min="1538" max="1538" width="2.88671875" style="797" customWidth="1"/>
    <col min="1539" max="1539" width="42.109375" style="797" customWidth="1"/>
    <col min="1540" max="1540" width="4.33203125" style="797" customWidth="1"/>
    <col min="1541" max="1541" width="14.44140625" style="797" customWidth="1"/>
    <col min="1542" max="1542" width="2.88671875" style="797" customWidth="1"/>
    <col min="1543" max="1543" width="12.109375" style="797" customWidth="1"/>
    <col min="1544" max="1544" width="2.88671875" style="797" customWidth="1"/>
    <col min="1545" max="1545" width="12.109375" style="797" customWidth="1"/>
    <col min="1546" max="1546" width="2.88671875" style="797" customWidth="1"/>
    <col min="1547" max="1548" width="4.33203125" style="797" customWidth="1"/>
    <col min="1549" max="1549" width="12" style="797" customWidth="1"/>
    <col min="1550" max="1550" width="9.88671875" style="797" customWidth="1"/>
    <col min="1551" max="1551" width="11.109375" style="797" customWidth="1"/>
    <col min="1552" max="1792" width="8.6640625" style="797"/>
    <col min="1793" max="1793" width="4.33203125" style="797" customWidth="1"/>
    <col min="1794" max="1794" width="2.88671875" style="797" customWidth="1"/>
    <col min="1795" max="1795" width="42.109375" style="797" customWidth="1"/>
    <col min="1796" max="1796" width="4.33203125" style="797" customWidth="1"/>
    <col min="1797" max="1797" width="14.44140625" style="797" customWidth="1"/>
    <col min="1798" max="1798" width="2.88671875" style="797" customWidth="1"/>
    <col min="1799" max="1799" width="12.109375" style="797" customWidth="1"/>
    <col min="1800" max="1800" width="2.88671875" style="797" customWidth="1"/>
    <col min="1801" max="1801" width="12.109375" style="797" customWidth="1"/>
    <col min="1802" max="1802" width="2.88671875" style="797" customWidth="1"/>
    <col min="1803" max="1804" width="4.33203125" style="797" customWidth="1"/>
    <col min="1805" max="1805" width="12" style="797" customWidth="1"/>
    <col min="1806" max="1806" width="9.88671875" style="797" customWidth="1"/>
    <col min="1807" max="1807" width="11.109375" style="797" customWidth="1"/>
    <col min="1808" max="2048" width="8.6640625" style="797"/>
    <col min="2049" max="2049" width="4.33203125" style="797" customWidth="1"/>
    <col min="2050" max="2050" width="2.88671875" style="797" customWidth="1"/>
    <col min="2051" max="2051" width="42.109375" style="797" customWidth="1"/>
    <col min="2052" max="2052" width="4.33203125" style="797" customWidth="1"/>
    <col min="2053" max="2053" width="14.44140625" style="797" customWidth="1"/>
    <col min="2054" max="2054" width="2.88671875" style="797" customWidth="1"/>
    <col min="2055" max="2055" width="12.109375" style="797" customWidth="1"/>
    <col min="2056" max="2056" width="2.88671875" style="797" customWidth="1"/>
    <col min="2057" max="2057" width="12.109375" style="797" customWidth="1"/>
    <col min="2058" max="2058" width="2.88671875" style="797" customWidth="1"/>
    <col min="2059" max="2060" width="4.33203125" style="797" customWidth="1"/>
    <col min="2061" max="2061" width="12" style="797" customWidth="1"/>
    <col min="2062" max="2062" width="9.88671875" style="797" customWidth="1"/>
    <col min="2063" max="2063" width="11.109375" style="797" customWidth="1"/>
    <col min="2064" max="2304" width="8.6640625" style="797"/>
    <col min="2305" max="2305" width="4.33203125" style="797" customWidth="1"/>
    <col min="2306" max="2306" width="2.88671875" style="797" customWidth="1"/>
    <col min="2307" max="2307" width="42.109375" style="797" customWidth="1"/>
    <col min="2308" max="2308" width="4.33203125" style="797" customWidth="1"/>
    <col min="2309" max="2309" width="14.44140625" style="797" customWidth="1"/>
    <col min="2310" max="2310" width="2.88671875" style="797" customWidth="1"/>
    <col min="2311" max="2311" width="12.109375" style="797" customWidth="1"/>
    <col min="2312" max="2312" width="2.88671875" style="797" customWidth="1"/>
    <col min="2313" max="2313" width="12.109375" style="797" customWidth="1"/>
    <col min="2314" max="2314" width="2.88671875" style="797" customWidth="1"/>
    <col min="2315" max="2316" width="4.33203125" style="797" customWidth="1"/>
    <col min="2317" max="2317" width="12" style="797" customWidth="1"/>
    <col min="2318" max="2318" width="9.88671875" style="797" customWidth="1"/>
    <col min="2319" max="2319" width="11.109375" style="797" customWidth="1"/>
    <col min="2320" max="2560" width="8.6640625" style="797"/>
    <col min="2561" max="2561" width="4.33203125" style="797" customWidth="1"/>
    <col min="2562" max="2562" width="2.88671875" style="797" customWidth="1"/>
    <col min="2563" max="2563" width="42.109375" style="797" customWidth="1"/>
    <col min="2564" max="2564" width="4.33203125" style="797" customWidth="1"/>
    <col min="2565" max="2565" width="14.44140625" style="797" customWidth="1"/>
    <col min="2566" max="2566" width="2.88671875" style="797" customWidth="1"/>
    <col min="2567" max="2567" width="12.109375" style="797" customWidth="1"/>
    <col min="2568" max="2568" width="2.88671875" style="797" customWidth="1"/>
    <col min="2569" max="2569" width="12.109375" style="797" customWidth="1"/>
    <col min="2570" max="2570" width="2.88671875" style="797" customWidth="1"/>
    <col min="2571" max="2572" width="4.33203125" style="797" customWidth="1"/>
    <col min="2573" max="2573" width="12" style="797" customWidth="1"/>
    <col min="2574" max="2574" width="9.88671875" style="797" customWidth="1"/>
    <col min="2575" max="2575" width="11.109375" style="797" customWidth="1"/>
    <col min="2576" max="2816" width="8.6640625" style="797"/>
    <col min="2817" max="2817" width="4.33203125" style="797" customWidth="1"/>
    <col min="2818" max="2818" width="2.88671875" style="797" customWidth="1"/>
    <col min="2819" max="2819" width="42.109375" style="797" customWidth="1"/>
    <col min="2820" max="2820" width="4.33203125" style="797" customWidth="1"/>
    <col min="2821" max="2821" width="14.44140625" style="797" customWidth="1"/>
    <col min="2822" max="2822" width="2.88671875" style="797" customWidth="1"/>
    <col min="2823" max="2823" width="12.109375" style="797" customWidth="1"/>
    <col min="2824" max="2824" width="2.88671875" style="797" customWidth="1"/>
    <col min="2825" max="2825" width="12.109375" style="797" customWidth="1"/>
    <col min="2826" max="2826" width="2.88671875" style="797" customWidth="1"/>
    <col min="2827" max="2828" width="4.33203125" style="797" customWidth="1"/>
    <col min="2829" max="2829" width="12" style="797" customWidth="1"/>
    <col min="2830" max="2830" width="9.88671875" style="797" customWidth="1"/>
    <col min="2831" max="2831" width="11.109375" style="797" customWidth="1"/>
    <col min="2832" max="3072" width="8.6640625" style="797"/>
    <col min="3073" max="3073" width="4.33203125" style="797" customWidth="1"/>
    <col min="3074" max="3074" width="2.88671875" style="797" customWidth="1"/>
    <col min="3075" max="3075" width="42.109375" style="797" customWidth="1"/>
    <col min="3076" max="3076" width="4.33203125" style="797" customWidth="1"/>
    <col min="3077" max="3077" width="14.44140625" style="797" customWidth="1"/>
    <col min="3078" max="3078" width="2.88671875" style="797" customWidth="1"/>
    <col min="3079" max="3079" width="12.109375" style="797" customWidth="1"/>
    <col min="3080" max="3080" width="2.88671875" style="797" customWidth="1"/>
    <col min="3081" max="3081" width="12.109375" style="797" customWidth="1"/>
    <col min="3082" max="3082" width="2.88671875" style="797" customWidth="1"/>
    <col min="3083" max="3084" width="4.33203125" style="797" customWidth="1"/>
    <col min="3085" max="3085" width="12" style="797" customWidth="1"/>
    <col min="3086" max="3086" width="9.88671875" style="797" customWidth="1"/>
    <col min="3087" max="3087" width="11.109375" style="797" customWidth="1"/>
    <col min="3088" max="3328" width="8.6640625" style="797"/>
    <col min="3329" max="3329" width="4.33203125" style="797" customWidth="1"/>
    <col min="3330" max="3330" width="2.88671875" style="797" customWidth="1"/>
    <col min="3331" max="3331" width="42.109375" style="797" customWidth="1"/>
    <col min="3332" max="3332" width="4.33203125" style="797" customWidth="1"/>
    <col min="3333" max="3333" width="14.44140625" style="797" customWidth="1"/>
    <col min="3334" max="3334" width="2.88671875" style="797" customWidth="1"/>
    <col min="3335" max="3335" width="12.109375" style="797" customWidth="1"/>
    <col min="3336" max="3336" width="2.88671875" style="797" customWidth="1"/>
    <col min="3337" max="3337" width="12.109375" style="797" customWidth="1"/>
    <col min="3338" max="3338" width="2.88671875" style="797" customWidth="1"/>
    <col min="3339" max="3340" width="4.33203125" style="797" customWidth="1"/>
    <col min="3341" max="3341" width="12" style="797" customWidth="1"/>
    <col min="3342" max="3342" width="9.88671875" style="797" customWidth="1"/>
    <col min="3343" max="3343" width="11.109375" style="797" customWidth="1"/>
    <col min="3344" max="3584" width="8.6640625" style="797"/>
    <col min="3585" max="3585" width="4.33203125" style="797" customWidth="1"/>
    <col min="3586" max="3586" width="2.88671875" style="797" customWidth="1"/>
    <col min="3587" max="3587" width="42.109375" style="797" customWidth="1"/>
    <col min="3588" max="3588" width="4.33203125" style="797" customWidth="1"/>
    <col min="3589" max="3589" width="14.44140625" style="797" customWidth="1"/>
    <col min="3590" max="3590" width="2.88671875" style="797" customWidth="1"/>
    <col min="3591" max="3591" width="12.109375" style="797" customWidth="1"/>
    <col min="3592" max="3592" width="2.88671875" style="797" customWidth="1"/>
    <col min="3593" max="3593" width="12.109375" style="797" customWidth="1"/>
    <col min="3594" max="3594" width="2.88671875" style="797" customWidth="1"/>
    <col min="3595" max="3596" width="4.33203125" style="797" customWidth="1"/>
    <col min="3597" max="3597" width="12" style="797" customWidth="1"/>
    <col min="3598" max="3598" width="9.88671875" style="797" customWidth="1"/>
    <col min="3599" max="3599" width="11.109375" style="797" customWidth="1"/>
    <col min="3600" max="3840" width="8.6640625" style="797"/>
    <col min="3841" max="3841" width="4.33203125" style="797" customWidth="1"/>
    <col min="3842" max="3842" width="2.88671875" style="797" customWidth="1"/>
    <col min="3843" max="3843" width="42.109375" style="797" customWidth="1"/>
    <col min="3844" max="3844" width="4.33203125" style="797" customWidth="1"/>
    <col min="3845" max="3845" width="14.44140625" style="797" customWidth="1"/>
    <col min="3846" max="3846" width="2.88671875" style="797" customWidth="1"/>
    <col min="3847" max="3847" width="12.109375" style="797" customWidth="1"/>
    <col min="3848" max="3848" width="2.88671875" style="797" customWidth="1"/>
    <col min="3849" max="3849" width="12.109375" style="797" customWidth="1"/>
    <col min="3850" max="3850" width="2.88671875" style="797" customWidth="1"/>
    <col min="3851" max="3852" width="4.33203125" style="797" customWidth="1"/>
    <col min="3853" max="3853" width="12" style="797" customWidth="1"/>
    <col min="3854" max="3854" width="9.88671875" style="797" customWidth="1"/>
    <col min="3855" max="3855" width="11.109375" style="797" customWidth="1"/>
    <col min="3856" max="4096" width="8.6640625" style="797"/>
    <col min="4097" max="4097" width="4.33203125" style="797" customWidth="1"/>
    <col min="4098" max="4098" width="2.88671875" style="797" customWidth="1"/>
    <col min="4099" max="4099" width="42.109375" style="797" customWidth="1"/>
    <col min="4100" max="4100" width="4.33203125" style="797" customWidth="1"/>
    <col min="4101" max="4101" width="14.44140625" style="797" customWidth="1"/>
    <col min="4102" max="4102" width="2.88671875" style="797" customWidth="1"/>
    <col min="4103" max="4103" width="12.109375" style="797" customWidth="1"/>
    <col min="4104" max="4104" width="2.88671875" style="797" customWidth="1"/>
    <col min="4105" max="4105" width="12.109375" style="797" customWidth="1"/>
    <col min="4106" max="4106" width="2.88671875" style="797" customWidth="1"/>
    <col min="4107" max="4108" width="4.33203125" style="797" customWidth="1"/>
    <col min="4109" max="4109" width="12" style="797" customWidth="1"/>
    <col min="4110" max="4110" width="9.88671875" style="797" customWidth="1"/>
    <col min="4111" max="4111" width="11.109375" style="797" customWidth="1"/>
    <col min="4112" max="4352" width="8.6640625" style="797"/>
    <col min="4353" max="4353" width="4.33203125" style="797" customWidth="1"/>
    <col min="4354" max="4354" width="2.88671875" style="797" customWidth="1"/>
    <col min="4355" max="4355" width="42.109375" style="797" customWidth="1"/>
    <col min="4356" max="4356" width="4.33203125" style="797" customWidth="1"/>
    <col min="4357" max="4357" width="14.44140625" style="797" customWidth="1"/>
    <col min="4358" max="4358" width="2.88671875" style="797" customWidth="1"/>
    <col min="4359" max="4359" width="12.109375" style="797" customWidth="1"/>
    <col min="4360" max="4360" width="2.88671875" style="797" customWidth="1"/>
    <col min="4361" max="4361" width="12.109375" style="797" customWidth="1"/>
    <col min="4362" max="4362" width="2.88671875" style="797" customWidth="1"/>
    <col min="4363" max="4364" width="4.33203125" style="797" customWidth="1"/>
    <col min="4365" max="4365" width="12" style="797" customWidth="1"/>
    <col min="4366" max="4366" width="9.88671875" style="797" customWidth="1"/>
    <col min="4367" max="4367" width="11.109375" style="797" customWidth="1"/>
    <col min="4368" max="4608" width="8.6640625" style="797"/>
    <col min="4609" max="4609" width="4.33203125" style="797" customWidth="1"/>
    <col min="4610" max="4610" width="2.88671875" style="797" customWidth="1"/>
    <col min="4611" max="4611" width="42.109375" style="797" customWidth="1"/>
    <col min="4612" max="4612" width="4.33203125" style="797" customWidth="1"/>
    <col min="4613" max="4613" width="14.44140625" style="797" customWidth="1"/>
    <col min="4614" max="4614" width="2.88671875" style="797" customWidth="1"/>
    <col min="4615" max="4615" width="12.109375" style="797" customWidth="1"/>
    <col min="4616" max="4616" width="2.88671875" style="797" customWidth="1"/>
    <col min="4617" max="4617" width="12.109375" style="797" customWidth="1"/>
    <col min="4618" max="4618" width="2.88671875" style="797" customWidth="1"/>
    <col min="4619" max="4620" width="4.33203125" style="797" customWidth="1"/>
    <col min="4621" max="4621" width="12" style="797" customWidth="1"/>
    <col min="4622" max="4622" width="9.88671875" style="797" customWidth="1"/>
    <col min="4623" max="4623" width="11.109375" style="797" customWidth="1"/>
    <col min="4624" max="4864" width="8.6640625" style="797"/>
    <col min="4865" max="4865" width="4.33203125" style="797" customWidth="1"/>
    <col min="4866" max="4866" width="2.88671875" style="797" customWidth="1"/>
    <col min="4867" max="4867" width="42.109375" style="797" customWidth="1"/>
    <col min="4868" max="4868" width="4.33203125" style="797" customWidth="1"/>
    <col min="4869" max="4869" width="14.44140625" style="797" customWidth="1"/>
    <col min="4870" max="4870" width="2.88671875" style="797" customWidth="1"/>
    <col min="4871" max="4871" width="12.109375" style="797" customWidth="1"/>
    <col min="4872" max="4872" width="2.88671875" style="797" customWidth="1"/>
    <col min="4873" max="4873" width="12.109375" style="797" customWidth="1"/>
    <col min="4874" max="4874" width="2.88671875" style="797" customWidth="1"/>
    <col min="4875" max="4876" width="4.33203125" style="797" customWidth="1"/>
    <col min="4877" max="4877" width="12" style="797" customWidth="1"/>
    <col min="4878" max="4878" width="9.88671875" style="797" customWidth="1"/>
    <col min="4879" max="4879" width="11.109375" style="797" customWidth="1"/>
    <col min="4880" max="5120" width="8.6640625" style="797"/>
    <col min="5121" max="5121" width="4.33203125" style="797" customWidth="1"/>
    <col min="5122" max="5122" width="2.88671875" style="797" customWidth="1"/>
    <col min="5123" max="5123" width="42.109375" style="797" customWidth="1"/>
    <col min="5124" max="5124" width="4.33203125" style="797" customWidth="1"/>
    <col min="5125" max="5125" width="14.44140625" style="797" customWidth="1"/>
    <col min="5126" max="5126" width="2.88671875" style="797" customWidth="1"/>
    <col min="5127" max="5127" width="12.109375" style="797" customWidth="1"/>
    <col min="5128" max="5128" width="2.88671875" style="797" customWidth="1"/>
    <col min="5129" max="5129" width="12.109375" style="797" customWidth="1"/>
    <col min="5130" max="5130" width="2.88671875" style="797" customWidth="1"/>
    <col min="5131" max="5132" width="4.33203125" style="797" customWidth="1"/>
    <col min="5133" max="5133" width="12" style="797" customWidth="1"/>
    <col min="5134" max="5134" width="9.88671875" style="797" customWidth="1"/>
    <col min="5135" max="5135" width="11.109375" style="797" customWidth="1"/>
    <col min="5136" max="5376" width="8.6640625" style="797"/>
    <col min="5377" max="5377" width="4.33203125" style="797" customWidth="1"/>
    <col min="5378" max="5378" width="2.88671875" style="797" customWidth="1"/>
    <col min="5379" max="5379" width="42.109375" style="797" customWidth="1"/>
    <col min="5380" max="5380" width="4.33203125" style="797" customWidth="1"/>
    <col min="5381" max="5381" width="14.44140625" style="797" customWidth="1"/>
    <col min="5382" max="5382" width="2.88671875" style="797" customWidth="1"/>
    <col min="5383" max="5383" width="12.109375" style="797" customWidth="1"/>
    <col min="5384" max="5384" width="2.88671875" style="797" customWidth="1"/>
    <col min="5385" max="5385" width="12.109375" style="797" customWidth="1"/>
    <col min="5386" max="5386" width="2.88671875" style="797" customWidth="1"/>
    <col min="5387" max="5388" width="4.33203125" style="797" customWidth="1"/>
    <col min="5389" max="5389" width="12" style="797" customWidth="1"/>
    <col min="5390" max="5390" width="9.88671875" style="797" customWidth="1"/>
    <col min="5391" max="5391" width="11.109375" style="797" customWidth="1"/>
    <col min="5392" max="5632" width="8.6640625" style="797"/>
    <col min="5633" max="5633" width="4.33203125" style="797" customWidth="1"/>
    <col min="5634" max="5634" width="2.88671875" style="797" customWidth="1"/>
    <col min="5635" max="5635" width="42.109375" style="797" customWidth="1"/>
    <col min="5636" max="5636" width="4.33203125" style="797" customWidth="1"/>
    <col min="5637" max="5637" width="14.44140625" style="797" customWidth="1"/>
    <col min="5638" max="5638" width="2.88671875" style="797" customWidth="1"/>
    <col min="5639" max="5639" width="12.109375" style="797" customWidth="1"/>
    <col min="5640" max="5640" width="2.88671875" style="797" customWidth="1"/>
    <col min="5641" max="5641" width="12.109375" style="797" customWidth="1"/>
    <col min="5642" max="5642" width="2.88671875" style="797" customWidth="1"/>
    <col min="5643" max="5644" width="4.33203125" style="797" customWidth="1"/>
    <col min="5645" max="5645" width="12" style="797" customWidth="1"/>
    <col min="5646" max="5646" width="9.88671875" style="797" customWidth="1"/>
    <col min="5647" max="5647" width="11.109375" style="797" customWidth="1"/>
    <col min="5648" max="5888" width="8.6640625" style="797"/>
    <col min="5889" max="5889" width="4.33203125" style="797" customWidth="1"/>
    <col min="5890" max="5890" width="2.88671875" style="797" customWidth="1"/>
    <col min="5891" max="5891" width="42.109375" style="797" customWidth="1"/>
    <col min="5892" max="5892" width="4.33203125" style="797" customWidth="1"/>
    <col min="5893" max="5893" width="14.44140625" style="797" customWidth="1"/>
    <col min="5894" max="5894" width="2.88671875" style="797" customWidth="1"/>
    <col min="5895" max="5895" width="12.109375" style="797" customWidth="1"/>
    <col min="5896" max="5896" width="2.88671875" style="797" customWidth="1"/>
    <col min="5897" max="5897" width="12.109375" style="797" customWidth="1"/>
    <col min="5898" max="5898" width="2.88671875" style="797" customWidth="1"/>
    <col min="5899" max="5900" width="4.33203125" style="797" customWidth="1"/>
    <col min="5901" max="5901" width="12" style="797" customWidth="1"/>
    <col min="5902" max="5902" width="9.88671875" style="797" customWidth="1"/>
    <col min="5903" max="5903" width="11.109375" style="797" customWidth="1"/>
    <col min="5904" max="6144" width="8.6640625" style="797"/>
    <col min="6145" max="6145" width="4.33203125" style="797" customWidth="1"/>
    <col min="6146" max="6146" width="2.88671875" style="797" customWidth="1"/>
    <col min="6147" max="6147" width="42.109375" style="797" customWidth="1"/>
    <col min="6148" max="6148" width="4.33203125" style="797" customWidth="1"/>
    <col min="6149" max="6149" width="14.44140625" style="797" customWidth="1"/>
    <col min="6150" max="6150" width="2.88671875" style="797" customWidth="1"/>
    <col min="6151" max="6151" width="12.109375" style="797" customWidth="1"/>
    <col min="6152" max="6152" width="2.88671875" style="797" customWidth="1"/>
    <col min="6153" max="6153" width="12.109375" style="797" customWidth="1"/>
    <col min="6154" max="6154" width="2.88671875" style="797" customWidth="1"/>
    <col min="6155" max="6156" width="4.33203125" style="797" customWidth="1"/>
    <col min="6157" max="6157" width="12" style="797" customWidth="1"/>
    <col min="6158" max="6158" width="9.88671875" style="797" customWidth="1"/>
    <col min="6159" max="6159" width="11.109375" style="797" customWidth="1"/>
    <col min="6160" max="6400" width="8.6640625" style="797"/>
    <col min="6401" max="6401" width="4.33203125" style="797" customWidth="1"/>
    <col min="6402" max="6402" width="2.88671875" style="797" customWidth="1"/>
    <col min="6403" max="6403" width="42.109375" style="797" customWidth="1"/>
    <col min="6404" max="6404" width="4.33203125" style="797" customWidth="1"/>
    <col min="6405" max="6405" width="14.44140625" style="797" customWidth="1"/>
    <col min="6406" max="6406" width="2.88671875" style="797" customWidth="1"/>
    <col min="6407" max="6407" width="12.109375" style="797" customWidth="1"/>
    <col min="6408" max="6408" width="2.88671875" style="797" customWidth="1"/>
    <col min="6409" max="6409" width="12.109375" style="797" customWidth="1"/>
    <col min="6410" max="6410" width="2.88671875" style="797" customWidth="1"/>
    <col min="6411" max="6412" width="4.33203125" style="797" customWidth="1"/>
    <col min="6413" max="6413" width="12" style="797" customWidth="1"/>
    <col min="6414" max="6414" width="9.88671875" style="797" customWidth="1"/>
    <col min="6415" max="6415" width="11.109375" style="797" customWidth="1"/>
    <col min="6416" max="6656" width="8.6640625" style="797"/>
    <col min="6657" max="6657" width="4.33203125" style="797" customWidth="1"/>
    <col min="6658" max="6658" width="2.88671875" style="797" customWidth="1"/>
    <col min="6659" max="6659" width="42.109375" style="797" customWidth="1"/>
    <col min="6660" max="6660" width="4.33203125" style="797" customWidth="1"/>
    <col min="6661" max="6661" width="14.44140625" style="797" customWidth="1"/>
    <col min="6662" max="6662" width="2.88671875" style="797" customWidth="1"/>
    <col min="6663" max="6663" width="12.109375" style="797" customWidth="1"/>
    <col min="6664" max="6664" width="2.88671875" style="797" customWidth="1"/>
    <col min="6665" max="6665" width="12.109375" style="797" customWidth="1"/>
    <col min="6666" max="6666" width="2.88671875" style="797" customWidth="1"/>
    <col min="6667" max="6668" width="4.33203125" style="797" customWidth="1"/>
    <col min="6669" max="6669" width="12" style="797" customWidth="1"/>
    <col min="6670" max="6670" width="9.88671875" style="797" customWidth="1"/>
    <col min="6671" max="6671" width="11.109375" style="797" customWidth="1"/>
    <col min="6672" max="6912" width="8.6640625" style="797"/>
    <col min="6913" max="6913" width="4.33203125" style="797" customWidth="1"/>
    <col min="6914" max="6914" width="2.88671875" style="797" customWidth="1"/>
    <col min="6915" max="6915" width="42.109375" style="797" customWidth="1"/>
    <col min="6916" max="6916" width="4.33203125" style="797" customWidth="1"/>
    <col min="6917" max="6917" width="14.44140625" style="797" customWidth="1"/>
    <col min="6918" max="6918" width="2.88671875" style="797" customWidth="1"/>
    <col min="6919" max="6919" width="12.109375" style="797" customWidth="1"/>
    <col min="6920" max="6920" width="2.88671875" style="797" customWidth="1"/>
    <col min="6921" max="6921" width="12.109375" style="797" customWidth="1"/>
    <col min="6922" max="6922" width="2.88671875" style="797" customWidth="1"/>
    <col min="6923" max="6924" width="4.33203125" style="797" customWidth="1"/>
    <col min="6925" max="6925" width="12" style="797" customWidth="1"/>
    <col min="6926" max="6926" width="9.88671875" style="797" customWidth="1"/>
    <col min="6927" max="6927" width="11.109375" style="797" customWidth="1"/>
    <col min="6928" max="7168" width="8.6640625" style="797"/>
    <col min="7169" max="7169" width="4.33203125" style="797" customWidth="1"/>
    <col min="7170" max="7170" width="2.88671875" style="797" customWidth="1"/>
    <col min="7171" max="7171" width="42.109375" style="797" customWidth="1"/>
    <col min="7172" max="7172" width="4.33203125" style="797" customWidth="1"/>
    <col min="7173" max="7173" width="14.44140625" style="797" customWidth="1"/>
    <col min="7174" max="7174" width="2.88671875" style="797" customWidth="1"/>
    <col min="7175" max="7175" width="12.109375" style="797" customWidth="1"/>
    <col min="7176" max="7176" width="2.88671875" style="797" customWidth="1"/>
    <col min="7177" max="7177" width="12.109375" style="797" customWidth="1"/>
    <col min="7178" max="7178" width="2.88671875" style="797" customWidth="1"/>
    <col min="7179" max="7180" width="4.33203125" style="797" customWidth="1"/>
    <col min="7181" max="7181" width="12" style="797" customWidth="1"/>
    <col min="7182" max="7182" width="9.88671875" style="797" customWidth="1"/>
    <col min="7183" max="7183" width="11.109375" style="797" customWidth="1"/>
    <col min="7184" max="7424" width="8.6640625" style="797"/>
    <col min="7425" max="7425" width="4.33203125" style="797" customWidth="1"/>
    <col min="7426" max="7426" width="2.88671875" style="797" customWidth="1"/>
    <col min="7427" max="7427" width="42.109375" style="797" customWidth="1"/>
    <col min="7428" max="7428" width="4.33203125" style="797" customWidth="1"/>
    <col min="7429" max="7429" width="14.44140625" style="797" customWidth="1"/>
    <col min="7430" max="7430" width="2.88671875" style="797" customWidth="1"/>
    <col min="7431" max="7431" width="12.109375" style="797" customWidth="1"/>
    <col min="7432" max="7432" width="2.88671875" style="797" customWidth="1"/>
    <col min="7433" max="7433" width="12.109375" style="797" customWidth="1"/>
    <col min="7434" max="7434" width="2.88671875" style="797" customWidth="1"/>
    <col min="7435" max="7436" width="4.33203125" style="797" customWidth="1"/>
    <col min="7437" max="7437" width="12" style="797" customWidth="1"/>
    <col min="7438" max="7438" width="9.88671875" style="797" customWidth="1"/>
    <col min="7439" max="7439" width="11.109375" style="797" customWidth="1"/>
    <col min="7440" max="7680" width="8.6640625" style="797"/>
    <col min="7681" max="7681" width="4.33203125" style="797" customWidth="1"/>
    <col min="7682" max="7682" width="2.88671875" style="797" customWidth="1"/>
    <col min="7683" max="7683" width="42.109375" style="797" customWidth="1"/>
    <col min="7684" max="7684" width="4.33203125" style="797" customWidth="1"/>
    <col min="7685" max="7685" width="14.44140625" style="797" customWidth="1"/>
    <col min="7686" max="7686" width="2.88671875" style="797" customWidth="1"/>
    <col min="7687" max="7687" width="12.109375" style="797" customWidth="1"/>
    <col min="7688" max="7688" width="2.88671875" style="797" customWidth="1"/>
    <col min="7689" max="7689" width="12.109375" style="797" customWidth="1"/>
    <col min="7690" max="7690" width="2.88671875" style="797" customWidth="1"/>
    <col min="7691" max="7692" width="4.33203125" style="797" customWidth="1"/>
    <col min="7693" max="7693" width="12" style="797" customWidth="1"/>
    <col min="7694" max="7694" width="9.88671875" style="797" customWidth="1"/>
    <col min="7695" max="7695" width="11.109375" style="797" customWidth="1"/>
    <col min="7696" max="7936" width="8.6640625" style="797"/>
    <col min="7937" max="7937" width="4.33203125" style="797" customWidth="1"/>
    <col min="7938" max="7938" width="2.88671875" style="797" customWidth="1"/>
    <col min="7939" max="7939" width="42.109375" style="797" customWidth="1"/>
    <col min="7940" max="7940" width="4.33203125" style="797" customWidth="1"/>
    <col min="7941" max="7941" width="14.44140625" style="797" customWidth="1"/>
    <col min="7942" max="7942" width="2.88671875" style="797" customWidth="1"/>
    <col min="7943" max="7943" width="12.109375" style="797" customWidth="1"/>
    <col min="7944" max="7944" width="2.88671875" style="797" customWidth="1"/>
    <col min="7945" max="7945" width="12.109375" style="797" customWidth="1"/>
    <col min="7946" max="7946" width="2.88671875" style="797" customWidth="1"/>
    <col min="7947" max="7948" width="4.33203125" style="797" customWidth="1"/>
    <col min="7949" max="7949" width="12" style="797" customWidth="1"/>
    <col min="7950" max="7950" width="9.88671875" style="797" customWidth="1"/>
    <col min="7951" max="7951" width="11.109375" style="797" customWidth="1"/>
    <col min="7952" max="8192" width="8.6640625" style="797"/>
    <col min="8193" max="8193" width="4.33203125" style="797" customWidth="1"/>
    <col min="8194" max="8194" width="2.88671875" style="797" customWidth="1"/>
    <col min="8195" max="8195" width="42.109375" style="797" customWidth="1"/>
    <col min="8196" max="8196" width="4.33203125" style="797" customWidth="1"/>
    <col min="8197" max="8197" width="14.44140625" style="797" customWidth="1"/>
    <col min="8198" max="8198" width="2.88671875" style="797" customWidth="1"/>
    <col min="8199" max="8199" width="12.109375" style="797" customWidth="1"/>
    <col min="8200" max="8200" width="2.88671875" style="797" customWidth="1"/>
    <col min="8201" max="8201" width="12.109375" style="797" customWidth="1"/>
    <col min="8202" max="8202" width="2.88671875" style="797" customWidth="1"/>
    <col min="8203" max="8204" width="4.33203125" style="797" customWidth="1"/>
    <col min="8205" max="8205" width="12" style="797" customWidth="1"/>
    <col min="8206" max="8206" width="9.88671875" style="797" customWidth="1"/>
    <col min="8207" max="8207" width="11.109375" style="797" customWidth="1"/>
    <col min="8208" max="8448" width="8.6640625" style="797"/>
    <col min="8449" max="8449" width="4.33203125" style="797" customWidth="1"/>
    <col min="8450" max="8450" width="2.88671875" style="797" customWidth="1"/>
    <col min="8451" max="8451" width="42.109375" style="797" customWidth="1"/>
    <col min="8452" max="8452" width="4.33203125" style="797" customWidth="1"/>
    <col min="8453" max="8453" width="14.44140625" style="797" customWidth="1"/>
    <col min="8454" max="8454" width="2.88671875" style="797" customWidth="1"/>
    <col min="8455" max="8455" width="12.109375" style="797" customWidth="1"/>
    <col min="8456" max="8456" width="2.88671875" style="797" customWidth="1"/>
    <col min="8457" max="8457" width="12.109375" style="797" customWidth="1"/>
    <col min="8458" max="8458" width="2.88671875" style="797" customWidth="1"/>
    <col min="8459" max="8460" width="4.33203125" style="797" customWidth="1"/>
    <col min="8461" max="8461" width="12" style="797" customWidth="1"/>
    <col min="8462" max="8462" width="9.88671875" style="797" customWidth="1"/>
    <col min="8463" max="8463" width="11.109375" style="797" customWidth="1"/>
    <col min="8464" max="8704" width="8.6640625" style="797"/>
    <col min="8705" max="8705" width="4.33203125" style="797" customWidth="1"/>
    <col min="8706" max="8706" width="2.88671875" style="797" customWidth="1"/>
    <col min="8707" max="8707" width="42.109375" style="797" customWidth="1"/>
    <col min="8708" max="8708" width="4.33203125" style="797" customWidth="1"/>
    <col min="8709" max="8709" width="14.44140625" style="797" customWidth="1"/>
    <col min="8710" max="8710" width="2.88671875" style="797" customWidth="1"/>
    <col min="8711" max="8711" width="12.109375" style="797" customWidth="1"/>
    <col min="8712" max="8712" width="2.88671875" style="797" customWidth="1"/>
    <col min="8713" max="8713" width="12.109375" style="797" customWidth="1"/>
    <col min="8714" max="8714" width="2.88671875" style="797" customWidth="1"/>
    <col min="8715" max="8716" width="4.33203125" style="797" customWidth="1"/>
    <col min="8717" max="8717" width="12" style="797" customWidth="1"/>
    <col min="8718" max="8718" width="9.88671875" style="797" customWidth="1"/>
    <col min="8719" max="8719" width="11.109375" style="797" customWidth="1"/>
    <col min="8720" max="8960" width="8.6640625" style="797"/>
    <col min="8961" max="8961" width="4.33203125" style="797" customWidth="1"/>
    <col min="8962" max="8962" width="2.88671875" style="797" customWidth="1"/>
    <col min="8963" max="8963" width="42.109375" style="797" customWidth="1"/>
    <col min="8964" max="8964" width="4.33203125" style="797" customWidth="1"/>
    <col min="8965" max="8965" width="14.44140625" style="797" customWidth="1"/>
    <col min="8966" max="8966" width="2.88671875" style="797" customWidth="1"/>
    <col min="8967" max="8967" width="12.109375" style="797" customWidth="1"/>
    <col min="8968" max="8968" width="2.88671875" style="797" customWidth="1"/>
    <col min="8969" max="8969" width="12.109375" style="797" customWidth="1"/>
    <col min="8970" max="8970" width="2.88671875" style="797" customWidth="1"/>
    <col min="8971" max="8972" width="4.33203125" style="797" customWidth="1"/>
    <col min="8973" max="8973" width="12" style="797" customWidth="1"/>
    <col min="8974" max="8974" width="9.88671875" style="797" customWidth="1"/>
    <col min="8975" max="8975" width="11.109375" style="797" customWidth="1"/>
    <col min="8976" max="9216" width="8.6640625" style="797"/>
    <col min="9217" max="9217" width="4.33203125" style="797" customWidth="1"/>
    <col min="9218" max="9218" width="2.88671875" style="797" customWidth="1"/>
    <col min="9219" max="9219" width="42.109375" style="797" customWidth="1"/>
    <col min="9220" max="9220" width="4.33203125" style="797" customWidth="1"/>
    <col min="9221" max="9221" width="14.44140625" style="797" customWidth="1"/>
    <col min="9222" max="9222" width="2.88671875" style="797" customWidth="1"/>
    <col min="9223" max="9223" width="12.109375" style="797" customWidth="1"/>
    <col min="9224" max="9224" width="2.88671875" style="797" customWidth="1"/>
    <col min="9225" max="9225" width="12.109375" style="797" customWidth="1"/>
    <col min="9226" max="9226" width="2.88671875" style="797" customWidth="1"/>
    <col min="9227" max="9228" width="4.33203125" style="797" customWidth="1"/>
    <col min="9229" max="9229" width="12" style="797" customWidth="1"/>
    <col min="9230" max="9230" width="9.88671875" style="797" customWidth="1"/>
    <col min="9231" max="9231" width="11.109375" style="797" customWidth="1"/>
    <col min="9232" max="9472" width="8.6640625" style="797"/>
    <col min="9473" max="9473" width="4.33203125" style="797" customWidth="1"/>
    <col min="9474" max="9474" width="2.88671875" style="797" customWidth="1"/>
    <col min="9475" max="9475" width="42.109375" style="797" customWidth="1"/>
    <col min="9476" max="9476" width="4.33203125" style="797" customWidth="1"/>
    <col min="9477" max="9477" width="14.44140625" style="797" customWidth="1"/>
    <col min="9478" max="9478" width="2.88671875" style="797" customWidth="1"/>
    <col min="9479" max="9479" width="12.109375" style="797" customWidth="1"/>
    <col min="9480" max="9480" width="2.88671875" style="797" customWidth="1"/>
    <col min="9481" max="9481" width="12.109375" style="797" customWidth="1"/>
    <col min="9482" max="9482" width="2.88671875" style="797" customWidth="1"/>
    <col min="9483" max="9484" width="4.33203125" style="797" customWidth="1"/>
    <col min="9485" max="9485" width="12" style="797" customWidth="1"/>
    <col min="9486" max="9486" width="9.88671875" style="797" customWidth="1"/>
    <col min="9487" max="9487" width="11.109375" style="797" customWidth="1"/>
    <col min="9488" max="9728" width="8.6640625" style="797"/>
    <col min="9729" max="9729" width="4.33203125" style="797" customWidth="1"/>
    <col min="9730" max="9730" width="2.88671875" style="797" customWidth="1"/>
    <col min="9731" max="9731" width="42.109375" style="797" customWidth="1"/>
    <col min="9732" max="9732" width="4.33203125" style="797" customWidth="1"/>
    <col min="9733" max="9733" width="14.44140625" style="797" customWidth="1"/>
    <col min="9734" max="9734" width="2.88671875" style="797" customWidth="1"/>
    <col min="9735" max="9735" width="12.109375" style="797" customWidth="1"/>
    <col min="9736" max="9736" width="2.88671875" style="797" customWidth="1"/>
    <col min="9737" max="9737" width="12.109375" style="797" customWidth="1"/>
    <col min="9738" max="9738" width="2.88671875" style="797" customWidth="1"/>
    <col min="9739" max="9740" width="4.33203125" style="797" customWidth="1"/>
    <col min="9741" max="9741" width="12" style="797" customWidth="1"/>
    <col min="9742" max="9742" width="9.88671875" style="797" customWidth="1"/>
    <col min="9743" max="9743" width="11.109375" style="797" customWidth="1"/>
    <col min="9744" max="9984" width="8.6640625" style="797"/>
    <col min="9985" max="9985" width="4.33203125" style="797" customWidth="1"/>
    <col min="9986" max="9986" width="2.88671875" style="797" customWidth="1"/>
    <col min="9987" max="9987" width="42.109375" style="797" customWidth="1"/>
    <col min="9988" max="9988" width="4.33203125" style="797" customWidth="1"/>
    <col min="9989" max="9989" width="14.44140625" style="797" customWidth="1"/>
    <col min="9990" max="9990" width="2.88671875" style="797" customWidth="1"/>
    <col min="9991" max="9991" width="12.109375" style="797" customWidth="1"/>
    <col min="9992" max="9992" width="2.88671875" style="797" customWidth="1"/>
    <col min="9993" max="9993" width="12.109375" style="797" customWidth="1"/>
    <col min="9994" max="9994" width="2.88671875" style="797" customWidth="1"/>
    <col min="9995" max="9996" width="4.33203125" style="797" customWidth="1"/>
    <col min="9997" max="9997" width="12" style="797" customWidth="1"/>
    <col min="9998" max="9998" width="9.88671875" style="797" customWidth="1"/>
    <col min="9999" max="9999" width="11.109375" style="797" customWidth="1"/>
    <col min="10000" max="10240" width="8.6640625" style="797"/>
    <col min="10241" max="10241" width="4.33203125" style="797" customWidth="1"/>
    <col min="10242" max="10242" width="2.88671875" style="797" customWidth="1"/>
    <col min="10243" max="10243" width="42.109375" style="797" customWidth="1"/>
    <col min="10244" max="10244" width="4.33203125" style="797" customWidth="1"/>
    <col min="10245" max="10245" width="14.44140625" style="797" customWidth="1"/>
    <col min="10246" max="10246" width="2.88671875" style="797" customWidth="1"/>
    <col min="10247" max="10247" width="12.109375" style="797" customWidth="1"/>
    <col min="10248" max="10248" width="2.88671875" style="797" customWidth="1"/>
    <col min="10249" max="10249" width="12.109375" style="797" customWidth="1"/>
    <col min="10250" max="10250" width="2.88671875" style="797" customWidth="1"/>
    <col min="10251" max="10252" width="4.33203125" style="797" customWidth="1"/>
    <col min="10253" max="10253" width="12" style="797" customWidth="1"/>
    <col min="10254" max="10254" width="9.88671875" style="797" customWidth="1"/>
    <col min="10255" max="10255" width="11.109375" style="797" customWidth="1"/>
    <col min="10256" max="10496" width="8.6640625" style="797"/>
    <col min="10497" max="10497" width="4.33203125" style="797" customWidth="1"/>
    <col min="10498" max="10498" width="2.88671875" style="797" customWidth="1"/>
    <col min="10499" max="10499" width="42.109375" style="797" customWidth="1"/>
    <col min="10500" max="10500" width="4.33203125" style="797" customWidth="1"/>
    <col min="10501" max="10501" width="14.44140625" style="797" customWidth="1"/>
    <col min="10502" max="10502" width="2.88671875" style="797" customWidth="1"/>
    <col min="10503" max="10503" width="12.109375" style="797" customWidth="1"/>
    <col min="10504" max="10504" width="2.88671875" style="797" customWidth="1"/>
    <col min="10505" max="10505" width="12.109375" style="797" customWidth="1"/>
    <col min="10506" max="10506" width="2.88671875" style="797" customWidth="1"/>
    <col min="10507" max="10508" width="4.33203125" style="797" customWidth="1"/>
    <col min="10509" max="10509" width="12" style="797" customWidth="1"/>
    <col min="10510" max="10510" width="9.88671875" style="797" customWidth="1"/>
    <col min="10511" max="10511" width="11.109375" style="797" customWidth="1"/>
    <col min="10512" max="10752" width="8.6640625" style="797"/>
    <col min="10753" max="10753" width="4.33203125" style="797" customWidth="1"/>
    <col min="10754" max="10754" width="2.88671875" style="797" customWidth="1"/>
    <col min="10755" max="10755" width="42.109375" style="797" customWidth="1"/>
    <col min="10756" max="10756" width="4.33203125" style="797" customWidth="1"/>
    <col min="10757" max="10757" width="14.44140625" style="797" customWidth="1"/>
    <col min="10758" max="10758" width="2.88671875" style="797" customWidth="1"/>
    <col min="10759" max="10759" width="12.109375" style="797" customWidth="1"/>
    <col min="10760" max="10760" width="2.88671875" style="797" customWidth="1"/>
    <col min="10761" max="10761" width="12.109375" style="797" customWidth="1"/>
    <col min="10762" max="10762" width="2.88671875" style="797" customWidth="1"/>
    <col min="10763" max="10764" width="4.33203125" style="797" customWidth="1"/>
    <col min="10765" max="10765" width="12" style="797" customWidth="1"/>
    <col min="10766" max="10766" width="9.88671875" style="797" customWidth="1"/>
    <col min="10767" max="10767" width="11.109375" style="797" customWidth="1"/>
    <col min="10768" max="11008" width="8.6640625" style="797"/>
    <col min="11009" max="11009" width="4.33203125" style="797" customWidth="1"/>
    <col min="11010" max="11010" width="2.88671875" style="797" customWidth="1"/>
    <col min="11011" max="11011" width="42.109375" style="797" customWidth="1"/>
    <col min="11012" max="11012" width="4.33203125" style="797" customWidth="1"/>
    <col min="11013" max="11013" width="14.44140625" style="797" customWidth="1"/>
    <col min="11014" max="11014" width="2.88671875" style="797" customWidth="1"/>
    <col min="11015" max="11015" width="12.109375" style="797" customWidth="1"/>
    <col min="11016" max="11016" width="2.88671875" style="797" customWidth="1"/>
    <col min="11017" max="11017" width="12.109375" style="797" customWidth="1"/>
    <col min="11018" max="11018" width="2.88671875" style="797" customWidth="1"/>
    <col min="11019" max="11020" width="4.33203125" style="797" customWidth="1"/>
    <col min="11021" max="11021" width="12" style="797" customWidth="1"/>
    <col min="11022" max="11022" width="9.88671875" style="797" customWidth="1"/>
    <col min="11023" max="11023" width="11.109375" style="797" customWidth="1"/>
    <col min="11024" max="11264" width="8.6640625" style="797"/>
    <col min="11265" max="11265" width="4.33203125" style="797" customWidth="1"/>
    <col min="11266" max="11266" width="2.88671875" style="797" customWidth="1"/>
    <col min="11267" max="11267" width="42.109375" style="797" customWidth="1"/>
    <col min="11268" max="11268" width="4.33203125" style="797" customWidth="1"/>
    <col min="11269" max="11269" width="14.44140625" style="797" customWidth="1"/>
    <col min="11270" max="11270" width="2.88671875" style="797" customWidth="1"/>
    <col min="11271" max="11271" width="12.109375" style="797" customWidth="1"/>
    <col min="11272" max="11272" width="2.88671875" style="797" customWidth="1"/>
    <col min="11273" max="11273" width="12.109375" style="797" customWidth="1"/>
    <col min="11274" max="11274" width="2.88671875" style="797" customWidth="1"/>
    <col min="11275" max="11276" width="4.33203125" style="797" customWidth="1"/>
    <col min="11277" max="11277" width="12" style="797" customWidth="1"/>
    <col min="11278" max="11278" width="9.88671875" style="797" customWidth="1"/>
    <col min="11279" max="11279" width="11.109375" style="797" customWidth="1"/>
    <col min="11280" max="11520" width="8.6640625" style="797"/>
    <col min="11521" max="11521" width="4.33203125" style="797" customWidth="1"/>
    <col min="11522" max="11522" width="2.88671875" style="797" customWidth="1"/>
    <col min="11523" max="11523" width="42.109375" style="797" customWidth="1"/>
    <col min="11524" max="11524" width="4.33203125" style="797" customWidth="1"/>
    <col min="11525" max="11525" width="14.44140625" style="797" customWidth="1"/>
    <col min="11526" max="11526" width="2.88671875" style="797" customWidth="1"/>
    <col min="11527" max="11527" width="12.109375" style="797" customWidth="1"/>
    <col min="11528" max="11528" width="2.88671875" style="797" customWidth="1"/>
    <col min="11529" max="11529" width="12.109375" style="797" customWidth="1"/>
    <col min="11530" max="11530" width="2.88671875" style="797" customWidth="1"/>
    <col min="11531" max="11532" width="4.33203125" style="797" customWidth="1"/>
    <col min="11533" max="11533" width="12" style="797" customWidth="1"/>
    <col min="11534" max="11534" width="9.88671875" style="797" customWidth="1"/>
    <col min="11535" max="11535" width="11.109375" style="797" customWidth="1"/>
    <col min="11536" max="11776" width="8.6640625" style="797"/>
    <col min="11777" max="11777" width="4.33203125" style="797" customWidth="1"/>
    <col min="11778" max="11778" width="2.88671875" style="797" customWidth="1"/>
    <col min="11779" max="11779" width="42.109375" style="797" customWidth="1"/>
    <col min="11780" max="11780" width="4.33203125" style="797" customWidth="1"/>
    <col min="11781" max="11781" width="14.44140625" style="797" customWidth="1"/>
    <col min="11782" max="11782" width="2.88671875" style="797" customWidth="1"/>
    <col min="11783" max="11783" width="12.109375" style="797" customWidth="1"/>
    <col min="11784" max="11784" width="2.88671875" style="797" customWidth="1"/>
    <col min="11785" max="11785" width="12.109375" style="797" customWidth="1"/>
    <col min="11786" max="11786" width="2.88671875" style="797" customWidth="1"/>
    <col min="11787" max="11788" width="4.33203125" style="797" customWidth="1"/>
    <col min="11789" max="11789" width="12" style="797" customWidth="1"/>
    <col min="11790" max="11790" width="9.88671875" style="797" customWidth="1"/>
    <col min="11791" max="11791" width="11.109375" style="797" customWidth="1"/>
    <col min="11792" max="12032" width="8.6640625" style="797"/>
    <col min="12033" max="12033" width="4.33203125" style="797" customWidth="1"/>
    <col min="12034" max="12034" width="2.88671875" style="797" customWidth="1"/>
    <col min="12035" max="12035" width="42.109375" style="797" customWidth="1"/>
    <col min="12036" max="12036" width="4.33203125" style="797" customWidth="1"/>
    <col min="12037" max="12037" width="14.44140625" style="797" customWidth="1"/>
    <col min="12038" max="12038" width="2.88671875" style="797" customWidth="1"/>
    <col min="12039" max="12039" width="12.109375" style="797" customWidth="1"/>
    <col min="12040" max="12040" width="2.88671875" style="797" customWidth="1"/>
    <col min="12041" max="12041" width="12.109375" style="797" customWidth="1"/>
    <col min="12042" max="12042" width="2.88671875" style="797" customWidth="1"/>
    <col min="12043" max="12044" width="4.33203125" style="797" customWidth="1"/>
    <col min="12045" max="12045" width="12" style="797" customWidth="1"/>
    <col min="12046" max="12046" width="9.88671875" style="797" customWidth="1"/>
    <col min="12047" max="12047" width="11.109375" style="797" customWidth="1"/>
    <col min="12048" max="12288" width="8.6640625" style="797"/>
    <col min="12289" max="12289" width="4.33203125" style="797" customWidth="1"/>
    <col min="12290" max="12290" width="2.88671875" style="797" customWidth="1"/>
    <col min="12291" max="12291" width="42.109375" style="797" customWidth="1"/>
    <col min="12292" max="12292" width="4.33203125" style="797" customWidth="1"/>
    <col min="12293" max="12293" width="14.44140625" style="797" customWidth="1"/>
    <col min="12294" max="12294" width="2.88671875" style="797" customWidth="1"/>
    <col min="12295" max="12295" width="12.109375" style="797" customWidth="1"/>
    <col min="12296" max="12296" width="2.88671875" style="797" customWidth="1"/>
    <col min="12297" max="12297" width="12.109375" style="797" customWidth="1"/>
    <col min="12298" max="12298" width="2.88671875" style="797" customWidth="1"/>
    <col min="12299" max="12300" width="4.33203125" style="797" customWidth="1"/>
    <col min="12301" max="12301" width="12" style="797" customWidth="1"/>
    <col min="12302" max="12302" width="9.88671875" style="797" customWidth="1"/>
    <col min="12303" max="12303" width="11.109375" style="797" customWidth="1"/>
    <col min="12304" max="12544" width="8.6640625" style="797"/>
    <col min="12545" max="12545" width="4.33203125" style="797" customWidth="1"/>
    <col min="12546" max="12546" width="2.88671875" style="797" customWidth="1"/>
    <col min="12547" max="12547" width="42.109375" style="797" customWidth="1"/>
    <col min="12548" max="12548" width="4.33203125" style="797" customWidth="1"/>
    <col min="12549" max="12549" width="14.44140625" style="797" customWidth="1"/>
    <col min="12550" max="12550" width="2.88671875" style="797" customWidth="1"/>
    <col min="12551" max="12551" width="12.109375" style="797" customWidth="1"/>
    <col min="12552" max="12552" width="2.88671875" style="797" customWidth="1"/>
    <col min="12553" max="12553" width="12.109375" style="797" customWidth="1"/>
    <col min="12554" max="12554" width="2.88671875" style="797" customWidth="1"/>
    <col min="12555" max="12556" width="4.33203125" style="797" customWidth="1"/>
    <col min="12557" max="12557" width="12" style="797" customWidth="1"/>
    <col min="12558" max="12558" width="9.88671875" style="797" customWidth="1"/>
    <col min="12559" max="12559" width="11.109375" style="797" customWidth="1"/>
    <col min="12560" max="12800" width="8.6640625" style="797"/>
    <col min="12801" max="12801" width="4.33203125" style="797" customWidth="1"/>
    <col min="12802" max="12802" width="2.88671875" style="797" customWidth="1"/>
    <col min="12803" max="12803" width="42.109375" style="797" customWidth="1"/>
    <col min="12804" max="12804" width="4.33203125" style="797" customWidth="1"/>
    <col min="12805" max="12805" width="14.44140625" style="797" customWidth="1"/>
    <col min="12806" max="12806" width="2.88671875" style="797" customWidth="1"/>
    <col min="12807" max="12807" width="12.109375" style="797" customWidth="1"/>
    <col min="12808" max="12808" width="2.88671875" style="797" customWidth="1"/>
    <col min="12809" max="12809" width="12.109375" style="797" customWidth="1"/>
    <col min="12810" max="12810" width="2.88671875" style="797" customWidth="1"/>
    <col min="12811" max="12812" width="4.33203125" style="797" customWidth="1"/>
    <col min="12813" max="12813" width="12" style="797" customWidth="1"/>
    <col min="12814" max="12814" width="9.88671875" style="797" customWidth="1"/>
    <col min="12815" max="12815" width="11.109375" style="797" customWidth="1"/>
    <col min="12816" max="13056" width="8.6640625" style="797"/>
    <col min="13057" max="13057" width="4.33203125" style="797" customWidth="1"/>
    <col min="13058" max="13058" width="2.88671875" style="797" customWidth="1"/>
    <col min="13059" max="13059" width="42.109375" style="797" customWidth="1"/>
    <col min="13060" max="13060" width="4.33203125" style="797" customWidth="1"/>
    <col min="13061" max="13061" width="14.44140625" style="797" customWidth="1"/>
    <col min="13062" max="13062" width="2.88671875" style="797" customWidth="1"/>
    <col min="13063" max="13063" width="12.109375" style="797" customWidth="1"/>
    <col min="13064" max="13064" width="2.88671875" style="797" customWidth="1"/>
    <col min="13065" max="13065" width="12.109375" style="797" customWidth="1"/>
    <col min="13066" max="13066" width="2.88671875" style="797" customWidth="1"/>
    <col min="13067" max="13068" width="4.33203125" style="797" customWidth="1"/>
    <col min="13069" max="13069" width="12" style="797" customWidth="1"/>
    <col min="13070" max="13070" width="9.88671875" style="797" customWidth="1"/>
    <col min="13071" max="13071" width="11.109375" style="797" customWidth="1"/>
    <col min="13072" max="13312" width="8.6640625" style="797"/>
    <col min="13313" max="13313" width="4.33203125" style="797" customWidth="1"/>
    <col min="13314" max="13314" width="2.88671875" style="797" customWidth="1"/>
    <col min="13315" max="13315" width="42.109375" style="797" customWidth="1"/>
    <col min="13316" max="13316" width="4.33203125" style="797" customWidth="1"/>
    <col min="13317" max="13317" width="14.44140625" style="797" customWidth="1"/>
    <col min="13318" max="13318" width="2.88671875" style="797" customWidth="1"/>
    <col min="13319" max="13319" width="12.109375" style="797" customWidth="1"/>
    <col min="13320" max="13320" width="2.88671875" style="797" customWidth="1"/>
    <col min="13321" max="13321" width="12.109375" style="797" customWidth="1"/>
    <col min="13322" max="13322" width="2.88671875" style="797" customWidth="1"/>
    <col min="13323" max="13324" width="4.33203125" style="797" customWidth="1"/>
    <col min="13325" max="13325" width="12" style="797" customWidth="1"/>
    <col min="13326" max="13326" width="9.88671875" style="797" customWidth="1"/>
    <col min="13327" max="13327" width="11.109375" style="797" customWidth="1"/>
    <col min="13328" max="13568" width="8.6640625" style="797"/>
    <col min="13569" max="13569" width="4.33203125" style="797" customWidth="1"/>
    <col min="13570" max="13570" width="2.88671875" style="797" customWidth="1"/>
    <col min="13571" max="13571" width="42.109375" style="797" customWidth="1"/>
    <col min="13572" max="13572" width="4.33203125" style="797" customWidth="1"/>
    <col min="13573" max="13573" width="14.44140625" style="797" customWidth="1"/>
    <col min="13574" max="13574" width="2.88671875" style="797" customWidth="1"/>
    <col min="13575" max="13575" width="12.109375" style="797" customWidth="1"/>
    <col min="13576" max="13576" width="2.88671875" style="797" customWidth="1"/>
    <col min="13577" max="13577" width="12.109375" style="797" customWidth="1"/>
    <col min="13578" max="13578" width="2.88671875" style="797" customWidth="1"/>
    <col min="13579" max="13580" width="4.33203125" style="797" customWidth="1"/>
    <col min="13581" max="13581" width="12" style="797" customWidth="1"/>
    <col min="13582" max="13582" width="9.88671875" style="797" customWidth="1"/>
    <col min="13583" max="13583" width="11.109375" style="797" customWidth="1"/>
    <col min="13584" max="13824" width="8.6640625" style="797"/>
    <col min="13825" max="13825" width="4.33203125" style="797" customWidth="1"/>
    <col min="13826" max="13826" width="2.88671875" style="797" customWidth="1"/>
    <col min="13827" max="13827" width="42.109375" style="797" customWidth="1"/>
    <col min="13828" max="13828" width="4.33203125" style="797" customWidth="1"/>
    <col min="13829" max="13829" width="14.44140625" style="797" customWidth="1"/>
    <col min="13830" max="13830" width="2.88671875" style="797" customWidth="1"/>
    <col min="13831" max="13831" width="12.109375" style="797" customWidth="1"/>
    <col min="13832" max="13832" width="2.88671875" style="797" customWidth="1"/>
    <col min="13833" max="13833" width="12.109375" style="797" customWidth="1"/>
    <col min="13834" max="13834" width="2.88671875" style="797" customWidth="1"/>
    <col min="13835" max="13836" width="4.33203125" style="797" customWidth="1"/>
    <col min="13837" max="13837" width="12" style="797" customWidth="1"/>
    <col min="13838" max="13838" width="9.88671875" style="797" customWidth="1"/>
    <col min="13839" max="13839" width="11.109375" style="797" customWidth="1"/>
    <col min="13840" max="14080" width="8.6640625" style="797"/>
    <col min="14081" max="14081" width="4.33203125" style="797" customWidth="1"/>
    <col min="14082" max="14082" width="2.88671875" style="797" customWidth="1"/>
    <col min="14083" max="14083" width="42.109375" style="797" customWidth="1"/>
    <col min="14084" max="14084" width="4.33203125" style="797" customWidth="1"/>
    <col min="14085" max="14085" width="14.44140625" style="797" customWidth="1"/>
    <col min="14086" max="14086" width="2.88671875" style="797" customWidth="1"/>
    <col min="14087" max="14087" width="12.109375" style="797" customWidth="1"/>
    <col min="14088" max="14088" width="2.88671875" style="797" customWidth="1"/>
    <col min="14089" max="14089" width="12.109375" style="797" customWidth="1"/>
    <col min="14090" max="14090" width="2.88671875" style="797" customWidth="1"/>
    <col min="14091" max="14092" width="4.33203125" style="797" customWidth="1"/>
    <col min="14093" max="14093" width="12" style="797" customWidth="1"/>
    <col min="14094" max="14094" width="9.88671875" style="797" customWidth="1"/>
    <col min="14095" max="14095" width="11.109375" style="797" customWidth="1"/>
    <col min="14096" max="14336" width="8.6640625" style="797"/>
    <col min="14337" max="14337" width="4.33203125" style="797" customWidth="1"/>
    <col min="14338" max="14338" width="2.88671875" style="797" customWidth="1"/>
    <col min="14339" max="14339" width="42.109375" style="797" customWidth="1"/>
    <col min="14340" max="14340" width="4.33203125" style="797" customWidth="1"/>
    <col min="14341" max="14341" width="14.44140625" style="797" customWidth="1"/>
    <col min="14342" max="14342" width="2.88671875" style="797" customWidth="1"/>
    <col min="14343" max="14343" width="12.109375" style="797" customWidth="1"/>
    <col min="14344" max="14344" width="2.88671875" style="797" customWidth="1"/>
    <col min="14345" max="14345" width="12.109375" style="797" customWidth="1"/>
    <col min="14346" max="14346" width="2.88671875" style="797" customWidth="1"/>
    <col min="14347" max="14348" width="4.33203125" style="797" customWidth="1"/>
    <col min="14349" max="14349" width="12" style="797" customWidth="1"/>
    <col min="14350" max="14350" width="9.88671875" style="797" customWidth="1"/>
    <col min="14351" max="14351" width="11.109375" style="797" customWidth="1"/>
    <col min="14352" max="14592" width="8.6640625" style="797"/>
    <col min="14593" max="14593" width="4.33203125" style="797" customWidth="1"/>
    <col min="14594" max="14594" width="2.88671875" style="797" customWidth="1"/>
    <col min="14595" max="14595" width="42.109375" style="797" customWidth="1"/>
    <col min="14596" max="14596" width="4.33203125" style="797" customWidth="1"/>
    <col min="14597" max="14597" width="14.44140625" style="797" customWidth="1"/>
    <col min="14598" max="14598" width="2.88671875" style="797" customWidth="1"/>
    <col min="14599" max="14599" width="12.109375" style="797" customWidth="1"/>
    <col min="14600" max="14600" width="2.88671875" style="797" customWidth="1"/>
    <col min="14601" max="14601" width="12.109375" style="797" customWidth="1"/>
    <col min="14602" max="14602" width="2.88671875" style="797" customWidth="1"/>
    <col min="14603" max="14604" width="4.33203125" style="797" customWidth="1"/>
    <col min="14605" max="14605" width="12" style="797" customWidth="1"/>
    <col min="14606" max="14606" width="9.88671875" style="797" customWidth="1"/>
    <col min="14607" max="14607" width="11.109375" style="797" customWidth="1"/>
    <col min="14608" max="14848" width="8.6640625" style="797"/>
    <col min="14849" max="14849" width="4.33203125" style="797" customWidth="1"/>
    <col min="14850" max="14850" width="2.88671875" style="797" customWidth="1"/>
    <col min="14851" max="14851" width="42.109375" style="797" customWidth="1"/>
    <col min="14852" max="14852" width="4.33203125" style="797" customWidth="1"/>
    <col min="14853" max="14853" width="14.44140625" style="797" customWidth="1"/>
    <col min="14854" max="14854" width="2.88671875" style="797" customWidth="1"/>
    <col min="14855" max="14855" width="12.109375" style="797" customWidth="1"/>
    <col min="14856" max="14856" width="2.88671875" style="797" customWidth="1"/>
    <col min="14857" max="14857" width="12.109375" style="797" customWidth="1"/>
    <col min="14858" max="14858" width="2.88671875" style="797" customWidth="1"/>
    <col min="14859" max="14860" width="4.33203125" style="797" customWidth="1"/>
    <col min="14861" max="14861" width="12" style="797" customWidth="1"/>
    <col min="14862" max="14862" width="9.88671875" style="797" customWidth="1"/>
    <col min="14863" max="14863" width="11.109375" style="797" customWidth="1"/>
    <col min="14864" max="15104" width="8.6640625" style="797"/>
    <col min="15105" max="15105" width="4.33203125" style="797" customWidth="1"/>
    <col min="15106" max="15106" width="2.88671875" style="797" customWidth="1"/>
    <col min="15107" max="15107" width="42.109375" style="797" customWidth="1"/>
    <col min="15108" max="15108" width="4.33203125" style="797" customWidth="1"/>
    <col min="15109" max="15109" width="14.44140625" style="797" customWidth="1"/>
    <col min="15110" max="15110" width="2.88671875" style="797" customWidth="1"/>
    <col min="15111" max="15111" width="12.109375" style="797" customWidth="1"/>
    <col min="15112" max="15112" width="2.88671875" style="797" customWidth="1"/>
    <col min="15113" max="15113" width="12.109375" style="797" customWidth="1"/>
    <col min="15114" max="15114" width="2.88671875" style="797" customWidth="1"/>
    <col min="15115" max="15116" width="4.33203125" style="797" customWidth="1"/>
    <col min="15117" max="15117" width="12" style="797" customWidth="1"/>
    <col min="15118" max="15118" width="9.88671875" style="797" customWidth="1"/>
    <col min="15119" max="15119" width="11.109375" style="797" customWidth="1"/>
    <col min="15120" max="15360" width="8.6640625" style="797"/>
    <col min="15361" max="15361" width="4.33203125" style="797" customWidth="1"/>
    <col min="15362" max="15362" width="2.88671875" style="797" customWidth="1"/>
    <col min="15363" max="15363" width="42.109375" style="797" customWidth="1"/>
    <col min="15364" max="15364" width="4.33203125" style="797" customWidth="1"/>
    <col min="15365" max="15365" width="14.44140625" style="797" customWidth="1"/>
    <col min="15366" max="15366" width="2.88671875" style="797" customWidth="1"/>
    <col min="15367" max="15367" width="12.109375" style="797" customWidth="1"/>
    <col min="15368" max="15368" width="2.88671875" style="797" customWidth="1"/>
    <col min="15369" max="15369" width="12.109375" style="797" customWidth="1"/>
    <col min="15370" max="15370" width="2.88671875" style="797" customWidth="1"/>
    <col min="15371" max="15372" width="4.33203125" style="797" customWidth="1"/>
    <col min="15373" max="15373" width="12" style="797" customWidth="1"/>
    <col min="15374" max="15374" width="9.88671875" style="797" customWidth="1"/>
    <col min="15375" max="15375" width="11.109375" style="797" customWidth="1"/>
    <col min="15376" max="15616" width="8.6640625" style="797"/>
    <col min="15617" max="15617" width="4.33203125" style="797" customWidth="1"/>
    <col min="15618" max="15618" width="2.88671875" style="797" customWidth="1"/>
    <col min="15619" max="15619" width="42.109375" style="797" customWidth="1"/>
    <col min="15620" max="15620" width="4.33203125" style="797" customWidth="1"/>
    <col min="15621" max="15621" width="14.44140625" style="797" customWidth="1"/>
    <col min="15622" max="15622" width="2.88671875" style="797" customWidth="1"/>
    <col min="15623" max="15623" width="12.109375" style="797" customWidth="1"/>
    <col min="15624" max="15624" width="2.88671875" style="797" customWidth="1"/>
    <col min="15625" max="15625" width="12.109375" style="797" customWidth="1"/>
    <col min="15626" max="15626" width="2.88671875" style="797" customWidth="1"/>
    <col min="15627" max="15628" width="4.33203125" style="797" customWidth="1"/>
    <col min="15629" max="15629" width="12" style="797" customWidth="1"/>
    <col min="15630" max="15630" width="9.88671875" style="797" customWidth="1"/>
    <col min="15631" max="15631" width="11.109375" style="797" customWidth="1"/>
    <col min="15632" max="15872" width="8.6640625" style="797"/>
    <col min="15873" max="15873" width="4.33203125" style="797" customWidth="1"/>
    <col min="15874" max="15874" width="2.88671875" style="797" customWidth="1"/>
    <col min="15875" max="15875" width="42.109375" style="797" customWidth="1"/>
    <col min="15876" max="15876" width="4.33203125" style="797" customWidth="1"/>
    <col min="15877" max="15877" width="14.44140625" style="797" customWidth="1"/>
    <col min="15878" max="15878" width="2.88671875" style="797" customWidth="1"/>
    <col min="15879" max="15879" width="12.109375" style="797" customWidth="1"/>
    <col min="15880" max="15880" width="2.88671875" style="797" customWidth="1"/>
    <col min="15881" max="15881" width="12.109375" style="797" customWidth="1"/>
    <col min="15882" max="15882" width="2.88671875" style="797" customWidth="1"/>
    <col min="15883" max="15884" width="4.33203125" style="797" customWidth="1"/>
    <col min="15885" max="15885" width="12" style="797" customWidth="1"/>
    <col min="15886" max="15886" width="9.88671875" style="797" customWidth="1"/>
    <col min="15887" max="15887" width="11.109375" style="797" customWidth="1"/>
    <col min="15888" max="16128" width="8.6640625" style="797"/>
    <col min="16129" max="16129" width="4.33203125" style="797" customWidth="1"/>
    <col min="16130" max="16130" width="2.88671875" style="797" customWidth="1"/>
    <col min="16131" max="16131" width="42.109375" style="797" customWidth="1"/>
    <col min="16132" max="16132" width="4.33203125" style="797" customWidth="1"/>
    <col min="16133" max="16133" width="14.44140625" style="797" customWidth="1"/>
    <col min="16134" max="16134" width="2.88671875" style="797" customWidth="1"/>
    <col min="16135" max="16135" width="12.109375" style="797" customWidth="1"/>
    <col min="16136" max="16136" width="2.88671875" style="797" customWidth="1"/>
    <col min="16137" max="16137" width="12.109375" style="797" customWidth="1"/>
    <col min="16138" max="16138" width="2.88671875" style="797" customWidth="1"/>
    <col min="16139" max="16140" width="4.33203125" style="797" customWidth="1"/>
    <col min="16141" max="16141" width="12" style="797" customWidth="1"/>
    <col min="16142" max="16142" width="9.88671875" style="797" customWidth="1"/>
    <col min="16143" max="16143" width="11.109375" style="797" customWidth="1"/>
    <col min="16144" max="16384" width="8.6640625" style="797"/>
  </cols>
  <sheetData>
    <row r="1" spans="1:11" ht="10.199999999999999">
      <c r="A1" s="800"/>
      <c r="B1" s="801"/>
      <c r="C1" s="801" t="s">
        <v>1378</v>
      </c>
      <c r="D1" s="802"/>
      <c r="E1" s="802" t="s">
        <v>181</v>
      </c>
      <c r="F1" s="802"/>
      <c r="G1" s="802"/>
      <c r="H1" s="802"/>
      <c r="I1" s="802"/>
      <c r="J1" s="801"/>
      <c r="K1" s="798" t="s">
        <v>1379</v>
      </c>
    </row>
    <row r="2" spans="1:11" ht="10.199999999999999">
      <c r="A2" s="802"/>
      <c r="B2" s="803"/>
      <c r="C2" s="803"/>
      <c r="D2" s="804"/>
      <c r="E2" s="804"/>
      <c r="F2" s="804"/>
      <c r="G2" s="804"/>
      <c r="H2" s="804"/>
      <c r="I2" s="804"/>
      <c r="J2" s="804"/>
      <c r="K2" s="805" t="s">
        <v>797</v>
      </c>
    </row>
    <row r="3" spans="1:11" ht="10.199999999999999">
      <c r="A3" s="1215" t="s">
        <v>4</v>
      </c>
      <c r="B3" s="1215"/>
      <c r="C3" s="1215"/>
      <c r="D3" s="1215"/>
      <c r="E3" s="1215"/>
      <c r="F3" s="1215"/>
      <c r="G3" s="1215"/>
      <c r="H3" s="1215"/>
      <c r="I3" s="1215"/>
      <c r="J3" s="1215"/>
      <c r="K3" s="1215"/>
    </row>
    <row r="4" spans="1:11" ht="10.199999999999999">
      <c r="A4" s="1215" t="s">
        <v>1429</v>
      </c>
      <c r="B4" s="1215"/>
      <c r="C4" s="1215"/>
      <c r="D4" s="1215"/>
      <c r="E4" s="1215"/>
      <c r="F4" s="1215"/>
      <c r="G4" s="1215"/>
      <c r="H4" s="1215"/>
      <c r="I4" s="1215"/>
      <c r="J4" s="1215"/>
      <c r="K4" s="1215"/>
    </row>
    <row r="5" spans="1:11" ht="10.199999999999999">
      <c r="A5" s="1215" t="s">
        <v>1537</v>
      </c>
      <c r="B5" s="1215"/>
      <c r="C5" s="1215"/>
      <c r="D5" s="1215"/>
      <c r="E5" s="1215"/>
      <c r="F5" s="1215"/>
      <c r="G5" s="1215"/>
      <c r="H5" s="1215"/>
      <c r="I5" s="1215"/>
      <c r="J5" s="1215"/>
      <c r="K5" s="1215"/>
    </row>
    <row r="6" spans="1:11" ht="10.199999999999999">
      <c r="A6" s="1216" t="s">
        <v>1380</v>
      </c>
      <c r="B6" s="1216"/>
      <c r="C6" s="1216"/>
      <c r="D6" s="1216"/>
      <c r="E6" s="1216"/>
      <c r="F6" s="1216"/>
      <c r="G6" s="1216"/>
      <c r="H6" s="1216"/>
      <c r="I6" s="1216"/>
      <c r="J6" s="1216"/>
      <c r="K6" s="1216"/>
    </row>
    <row r="7" spans="1:11" s="796" customFormat="1" ht="10.199999999999999">
      <c r="A7" s="807"/>
      <c r="B7" s="801"/>
      <c r="C7" s="808"/>
      <c r="D7" s="801"/>
      <c r="E7" s="801"/>
      <c r="F7" s="801"/>
      <c r="G7" s="801"/>
      <c r="H7" s="801"/>
      <c r="I7" s="801"/>
      <c r="J7" s="801"/>
      <c r="K7" s="800"/>
    </row>
    <row r="8" spans="1:11" s="796" customFormat="1" ht="10.199999999999999">
      <c r="A8" s="800"/>
      <c r="B8" s="801"/>
      <c r="C8" s="801"/>
      <c r="D8" s="801"/>
      <c r="E8" s="802"/>
      <c r="F8" s="802"/>
      <c r="G8" s="1213" t="s">
        <v>1536</v>
      </c>
      <c r="H8" s="1213"/>
      <c r="I8" s="1213"/>
      <c r="J8" s="802"/>
      <c r="K8" s="807"/>
    </row>
    <row r="9" spans="1:11" s="796" customFormat="1" ht="10.199999999999999">
      <c r="A9" s="800"/>
      <c r="B9" s="801"/>
      <c r="C9" s="801"/>
      <c r="D9" s="801"/>
      <c r="E9" s="807"/>
      <c r="F9" s="802"/>
      <c r="G9" s="1214"/>
      <c r="H9" s="1214"/>
      <c r="I9" s="1214"/>
      <c r="J9" s="802"/>
      <c r="K9" s="807"/>
    </row>
    <row r="10" spans="1:11" s="796" customFormat="1" ht="10.199999999999999">
      <c r="A10" s="807" t="s">
        <v>331</v>
      </c>
      <c r="B10" s="802"/>
      <c r="C10" s="802"/>
      <c r="D10" s="801"/>
      <c r="E10" s="809" t="s">
        <v>848</v>
      </c>
      <c r="F10" s="802"/>
      <c r="G10" s="807" t="s">
        <v>851</v>
      </c>
      <c r="H10" s="802"/>
      <c r="I10" s="807" t="s">
        <v>816</v>
      </c>
      <c r="J10" s="802"/>
      <c r="K10" s="807" t="s">
        <v>331</v>
      </c>
    </row>
    <row r="11" spans="1:11" s="796" customFormat="1" ht="10.199999999999999">
      <c r="A11" s="810" t="s">
        <v>333</v>
      </c>
      <c r="B11" s="802"/>
      <c r="C11" s="811" t="s">
        <v>0</v>
      </c>
      <c r="D11" s="801"/>
      <c r="E11" s="812" t="s">
        <v>1430</v>
      </c>
      <c r="F11" s="802"/>
      <c r="G11" s="810" t="s">
        <v>881</v>
      </c>
      <c r="H11" s="802"/>
      <c r="I11" s="810" t="s">
        <v>881</v>
      </c>
      <c r="J11" s="802"/>
      <c r="K11" s="810" t="s">
        <v>333</v>
      </c>
    </row>
    <row r="12" spans="1:11" s="796" customFormat="1" ht="10.199999999999999">
      <c r="A12" s="807"/>
      <c r="B12" s="802"/>
      <c r="C12" s="802"/>
      <c r="D12" s="801"/>
      <c r="E12" s="809"/>
      <c r="F12" s="802"/>
      <c r="G12" s="807"/>
      <c r="H12" s="802"/>
      <c r="I12" s="807"/>
      <c r="J12" s="802"/>
      <c r="K12" s="807"/>
    </row>
    <row r="13" spans="1:11" ht="10.199999999999999">
      <c r="A13" s="807">
        <v>1</v>
      </c>
      <c r="B13" s="802"/>
      <c r="C13" s="802" t="s">
        <v>44</v>
      </c>
      <c r="D13" s="802"/>
      <c r="E13" s="813">
        <v>126161</v>
      </c>
      <c r="F13" s="814"/>
      <c r="G13" s="813">
        <v>156937</v>
      </c>
      <c r="H13" s="815"/>
      <c r="I13" s="813">
        <v>172971</v>
      </c>
      <c r="J13" s="807"/>
      <c r="K13" s="807">
        <f>+A13</f>
        <v>1</v>
      </c>
    </row>
    <row r="14" spans="1:11" ht="10.199999999999999">
      <c r="A14" s="807"/>
      <c r="B14" s="802"/>
      <c r="C14" s="802"/>
      <c r="D14" s="802"/>
      <c r="E14" s="802"/>
      <c r="F14" s="802"/>
      <c r="G14" s="802"/>
      <c r="H14" s="816"/>
      <c r="I14" s="814"/>
      <c r="J14" s="807"/>
      <c r="K14" s="807"/>
    </row>
    <row r="15" spans="1:11" ht="10.199999999999999">
      <c r="A15" s="807"/>
      <c r="B15" s="802"/>
      <c r="C15" s="802" t="s">
        <v>336</v>
      </c>
      <c r="D15" s="802"/>
      <c r="E15" s="802"/>
      <c r="F15" s="802"/>
      <c r="G15" s="802"/>
      <c r="H15" s="816"/>
      <c r="I15" s="814"/>
      <c r="J15" s="807"/>
      <c r="K15" s="807"/>
    </row>
    <row r="16" spans="1:11" ht="10.199999999999999">
      <c r="A16" s="807">
        <f>+A13+1</f>
        <v>2</v>
      </c>
      <c r="B16" s="802"/>
      <c r="C16" s="817" t="s">
        <v>1871</v>
      </c>
      <c r="D16" s="818"/>
      <c r="E16" s="802">
        <v>60226</v>
      </c>
      <c r="F16" s="802"/>
      <c r="G16" s="802">
        <v>88496</v>
      </c>
      <c r="H16" s="816"/>
      <c r="I16" s="802">
        <v>88496</v>
      </c>
      <c r="J16" s="807"/>
      <c r="K16" s="807">
        <f>+A16</f>
        <v>2</v>
      </c>
    </row>
    <row r="17" spans="1:11" ht="10.199999999999999">
      <c r="A17" s="807">
        <f>A16+1</f>
        <v>3</v>
      </c>
      <c r="B17" s="802"/>
      <c r="C17" s="819" t="s">
        <v>1381</v>
      </c>
      <c r="D17" s="818"/>
      <c r="E17" s="802">
        <v>28733</v>
      </c>
      <c r="F17" s="802"/>
      <c r="G17" s="802">
        <v>31916</v>
      </c>
      <c r="H17" s="816"/>
      <c r="I17" s="802">
        <v>31668</v>
      </c>
      <c r="J17" s="807"/>
      <c r="K17" s="807">
        <f>+A17</f>
        <v>3</v>
      </c>
    </row>
    <row r="18" spans="1:11" ht="10.199999999999999">
      <c r="A18" s="807">
        <f>+A17+1</f>
        <v>4</v>
      </c>
      <c r="B18" s="802"/>
      <c r="C18" s="802" t="s">
        <v>1382</v>
      </c>
      <c r="D18" s="818"/>
      <c r="E18" s="802">
        <v>16665</v>
      </c>
      <c r="F18" s="802"/>
      <c r="G18" s="802">
        <v>14122</v>
      </c>
      <c r="H18" s="816"/>
      <c r="I18" s="802">
        <v>14790</v>
      </c>
      <c r="J18" s="807"/>
      <c r="K18" s="807">
        <f>+A18</f>
        <v>4</v>
      </c>
    </row>
    <row r="19" spans="1:11" ht="10.199999999999999">
      <c r="A19" s="807">
        <v>5</v>
      </c>
      <c r="B19" s="802"/>
      <c r="C19" s="802" t="s">
        <v>1383</v>
      </c>
      <c r="D19" s="818"/>
      <c r="E19" s="802">
        <v>5159</v>
      </c>
      <c r="F19" s="802"/>
      <c r="G19" s="802">
        <v>5204</v>
      </c>
      <c r="H19" s="816"/>
      <c r="I19" s="802">
        <v>5204</v>
      </c>
      <c r="J19" s="807"/>
      <c r="K19" s="807">
        <f>+A19</f>
        <v>5</v>
      </c>
    </row>
    <row r="20" spans="1:11" ht="10.199999999999999">
      <c r="A20" s="807">
        <v>6</v>
      </c>
      <c r="B20" s="802"/>
      <c r="C20" s="802" t="s">
        <v>1384</v>
      </c>
      <c r="D20" s="818"/>
      <c r="E20" s="802">
        <v>2063</v>
      </c>
      <c r="F20" s="802"/>
      <c r="G20" s="802">
        <v>1905</v>
      </c>
      <c r="H20" s="816"/>
      <c r="I20" s="802">
        <v>5930</v>
      </c>
      <c r="J20" s="807"/>
      <c r="K20" s="807">
        <v>6</v>
      </c>
    </row>
    <row r="21" spans="1:11" ht="10.199999999999999">
      <c r="A21" s="807">
        <v>7</v>
      </c>
      <c r="B21" s="802"/>
      <c r="C21" s="802" t="s">
        <v>1385</v>
      </c>
      <c r="D21" s="802"/>
      <c r="E21" s="820">
        <v>112846</v>
      </c>
      <c r="F21" s="802"/>
      <c r="G21" s="820">
        <v>141643</v>
      </c>
      <c r="H21" s="802"/>
      <c r="I21" s="820">
        <v>146088</v>
      </c>
      <c r="J21" s="807"/>
      <c r="K21" s="807">
        <v>7</v>
      </c>
    </row>
    <row r="22" spans="1:11" ht="10.199999999999999">
      <c r="A22" s="807"/>
      <c r="B22" s="802"/>
      <c r="C22" s="802"/>
      <c r="D22" s="802"/>
      <c r="E22" s="802"/>
      <c r="F22" s="802"/>
      <c r="G22" s="802"/>
      <c r="H22" s="802"/>
      <c r="I22" s="802"/>
      <c r="J22" s="807"/>
      <c r="K22" s="807"/>
    </row>
    <row r="23" spans="1:11" ht="10.199999999999999">
      <c r="A23" s="807">
        <f>+A21+1</f>
        <v>8</v>
      </c>
      <c r="B23" s="802"/>
      <c r="C23" s="802" t="s">
        <v>329</v>
      </c>
      <c r="D23" s="802"/>
      <c r="E23" s="811">
        <v>13315</v>
      </c>
      <c r="F23" s="802"/>
      <c r="G23" s="811">
        <v>15294</v>
      </c>
      <c r="H23" s="802"/>
      <c r="I23" s="811">
        <v>26883</v>
      </c>
      <c r="J23" s="807"/>
      <c r="K23" s="807">
        <v>8</v>
      </c>
    </row>
    <row r="24" spans="1:11" ht="10.199999999999999">
      <c r="A24" s="807"/>
      <c r="B24" s="802"/>
      <c r="C24" s="802"/>
      <c r="D24" s="802"/>
      <c r="E24" s="802"/>
      <c r="F24" s="802"/>
      <c r="G24" s="802"/>
      <c r="H24" s="802"/>
      <c r="I24" s="802"/>
      <c r="J24" s="807"/>
      <c r="K24" s="807"/>
    </row>
    <row r="25" spans="1:11" ht="10.199999999999999">
      <c r="A25" s="807"/>
      <c r="B25" s="802"/>
      <c r="C25" s="802" t="s">
        <v>1139</v>
      </c>
      <c r="D25" s="802"/>
      <c r="E25" s="802"/>
      <c r="F25" s="802"/>
      <c r="G25" s="802"/>
      <c r="H25" s="802"/>
      <c r="I25" s="802"/>
      <c r="J25" s="807"/>
      <c r="K25" s="807"/>
    </row>
    <row r="26" spans="1:11" ht="10.199999999999999">
      <c r="A26" s="807">
        <f>+A23+1</f>
        <v>9</v>
      </c>
      <c r="B26" s="802"/>
      <c r="C26" s="802" t="s">
        <v>1386</v>
      </c>
      <c r="D26" s="802"/>
      <c r="E26" s="802">
        <v>-2</v>
      </c>
      <c r="F26" s="802"/>
      <c r="G26" s="802">
        <v>71</v>
      </c>
      <c r="H26" s="816"/>
      <c r="I26" s="802">
        <v>71</v>
      </c>
      <c r="J26" s="807"/>
      <c r="K26" s="807">
        <v>9</v>
      </c>
    </row>
    <row r="27" spans="1:11" ht="10.199999999999999">
      <c r="A27" s="807">
        <f>+A26+1</f>
        <v>10</v>
      </c>
      <c r="B27" s="802"/>
      <c r="C27" s="802" t="s">
        <v>1387</v>
      </c>
      <c r="D27" s="802"/>
      <c r="E27" s="802">
        <v>-222</v>
      </c>
      <c r="F27" s="802"/>
      <c r="G27" s="802">
        <v>-112</v>
      </c>
      <c r="H27" s="816"/>
      <c r="I27" s="802">
        <v>-70</v>
      </c>
      <c r="J27" s="807"/>
      <c r="K27" s="807">
        <f>+A27</f>
        <v>10</v>
      </c>
    </row>
    <row r="28" spans="1:11" ht="10.199999999999999">
      <c r="A28" s="807">
        <f>+A27+1</f>
        <v>11</v>
      </c>
      <c r="B28" s="802"/>
      <c r="C28" s="802" t="s">
        <v>1388</v>
      </c>
      <c r="D28" s="802"/>
      <c r="E28" s="820">
        <v>-224</v>
      </c>
      <c r="F28" s="802"/>
      <c r="G28" s="820">
        <v>-41</v>
      </c>
      <c r="H28" s="802"/>
      <c r="I28" s="820">
        <v>1</v>
      </c>
      <c r="J28" s="807"/>
      <c r="K28" s="807">
        <f>+A28</f>
        <v>11</v>
      </c>
    </row>
    <row r="29" spans="1:11" ht="10.199999999999999">
      <c r="A29" s="807"/>
      <c r="B29" s="802"/>
      <c r="C29" s="802"/>
      <c r="D29" s="802"/>
      <c r="E29" s="802"/>
      <c r="F29" s="802"/>
      <c r="G29" s="802"/>
      <c r="H29" s="802"/>
      <c r="I29" s="802"/>
      <c r="J29" s="807"/>
      <c r="K29" s="807"/>
    </row>
    <row r="30" spans="1:11" ht="10.199999999999999">
      <c r="A30" s="807">
        <f>+A28+1</f>
        <v>12</v>
      </c>
      <c r="B30" s="802"/>
      <c r="C30" s="802" t="s">
        <v>858</v>
      </c>
      <c r="D30" s="802"/>
      <c r="E30" s="811">
        <v>13091</v>
      </c>
      <c r="F30" s="802"/>
      <c r="G30" s="811">
        <v>15253</v>
      </c>
      <c r="H30" s="802"/>
      <c r="I30" s="811">
        <v>26884</v>
      </c>
      <c r="J30" s="807"/>
      <c r="K30" s="807">
        <f>+A30</f>
        <v>12</v>
      </c>
    </row>
    <row r="31" spans="1:11" ht="10.199999999999999">
      <c r="A31" s="807"/>
      <c r="B31" s="802"/>
      <c r="C31" s="802"/>
      <c r="D31" s="802"/>
      <c r="E31" s="802"/>
      <c r="F31" s="802"/>
      <c r="G31" s="802"/>
      <c r="H31" s="802"/>
      <c r="I31" s="802"/>
      <c r="J31" s="807"/>
      <c r="K31" s="807"/>
    </row>
    <row r="32" spans="1:11" ht="10.199999999999999">
      <c r="A32" s="807" t="s">
        <v>181</v>
      </c>
      <c r="B32" s="802"/>
      <c r="C32" s="802" t="s">
        <v>859</v>
      </c>
      <c r="D32" s="802"/>
      <c r="E32" s="802"/>
      <c r="F32" s="802"/>
      <c r="G32" s="802"/>
      <c r="H32" s="802"/>
      <c r="I32" s="802"/>
      <c r="J32" s="807"/>
      <c r="K32" s="807" t="s">
        <v>181</v>
      </c>
    </row>
    <row r="33" spans="1:11" ht="10.199999999999999">
      <c r="A33" s="807">
        <f>+A30+1</f>
        <v>13</v>
      </c>
      <c r="B33" s="802"/>
      <c r="C33" s="802" t="s">
        <v>1133</v>
      </c>
      <c r="D33" s="802"/>
      <c r="E33" s="802">
        <v>4556</v>
      </c>
      <c r="F33" s="802"/>
      <c r="G33" s="802">
        <v>6220</v>
      </c>
      <c r="H33" s="816"/>
      <c r="I33" s="802">
        <v>6220</v>
      </c>
      <c r="J33" s="807"/>
      <c r="K33" s="807">
        <f>+A33</f>
        <v>13</v>
      </c>
    </row>
    <row r="34" spans="1:11" ht="10.199999999999999">
      <c r="A34" s="807">
        <f>+A33+1</f>
        <v>14</v>
      </c>
      <c r="B34" s="802"/>
      <c r="C34" s="802" t="s">
        <v>1389</v>
      </c>
      <c r="D34" s="802"/>
      <c r="E34" s="802">
        <v>1462</v>
      </c>
      <c r="F34" s="802"/>
      <c r="G34" s="802">
        <v>441</v>
      </c>
      <c r="H34" s="816"/>
      <c r="I34" s="802">
        <v>0</v>
      </c>
      <c r="J34" s="807"/>
      <c r="K34" s="807">
        <f>+A34</f>
        <v>14</v>
      </c>
    </row>
    <row r="35" spans="1:11" ht="10.199999999999999">
      <c r="A35" s="807">
        <f>+A34+1</f>
        <v>15</v>
      </c>
      <c r="B35" s="802"/>
      <c r="C35" s="802" t="s">
        <v>1390</v>
      </c>
      <c r="D35" s="802"/>
      <c r="E35" s="802">
        <v>318</v>
      </c>
      <c r="F35" s="802"/>
      <c r="G35" s="802">
        <v>365</v>
      </c>
      <c r="H35" s="816"/>
      <c r="I35" s="802">
        <v>365</v>
      </c>
      <c r="J35" s="807"/>
      <c r="K35" s="807">
        <f>+A35</f>
        <v>15</v>
      </c>
    </row>
    <row r="36" spans="1:11" ht="10.199999999999999">
      <c r="A36" s="807">
        <f>+A35+1</f>
        <v>16</v>
      </c>
      <c r="B36" s="802"/>
      <c r="C36" s="802" t="s">
        <v>1391</v>
      </c>
      <c r="D36" s="802"/>
      <c r="E36" s="802">
        <v>-188</v>
      </c>
      <c r="F36" s="802"/>
      <c r="G36" s="802">
        <v>-192</v>
      </c>
      <c r="H36" s="816"/>
      <c r="I36" s="802">
        <v>-192</v>
      </c>
      <c r="J36" s="807"/>
      <c r="K36" s="807">
        <f>+A36</f>
        <v>16</v>
      </c>
    </row>
    <row r="37" spans="1:11" ht="10.199999999999999">
      <c r="A37" s="807">
        <f>+A36+1</f>
        <v>17</v>
      </c>
      <c r="B37" s="802"/>
      <c r="C37" s="802" t="s">
        <v>1392</v>
      </c>
      <c r="D37" s="802"/>
      <c r="E37" s="820">
        <v>6148</v>
      </c>
      <c r="F37" s="802"/>
      <c r="G37" s="820">
        <v>6834</v>
      </c>
      <c r="H37" s="802"/>
      <c r="I37" s="820">
        <v>6393</v>
      </c>
      <c r="J37" s="807"/>
      <c r="K37" s="807">
        <f>+A37</f>
        <v>17</v>
      </c>
    </row>
    <row r="38" spans="1:11" ht="10.199999999999999">
      <c r="A38" s="807"/>
      <c r="B38" s="802"/>
      <c r="C38" s="802"/>
      <c r="D38" s="802"/>
      <c r="E38" s="802"/>
      <c r="F38" s="802"/>
      <c r="G38" s="802"/>
      <c r="H38" s="802"/>
      <c r="I38" s="814"/>
      <c r="J38" s="807"/>
      <c r="K38" s="807"/>
    </row>
    <row r="39" spans="1:11" ht="10.199999999999999">
      <c r="A39" s="807" t="s">
        <v>181</v>
      </c>
      <c r="B39" s="802"/>
      <c r="C39" s="802"/>
      <c r="D39" s="802"/>
      <c r="E39" s="802"/>
      <c r="F39" s="802"/>
      <c r="G39" s="802"/>
      <c r="H39" s="816"/>
      <c r="I39" s="814"/>
      <c r="J39" s="816"/>
      <c r="K39" s="816"/>
    </row>
    <row r="40" spans="1:11" ht="10.8" thickBot="1">
      <c r="A40" s="807">
        <f>A37+1</f>
        <v>18</v>
      </c>
      <c r="B40" s="802"/>
      <c r="C40" s="802" t="s">
        <v>1147</v>
      </c>
      <c r="D40" s="802"/>
      <c r="E40" s="1013">
        <v>6943</v>
      </c>
      <c r="F40" s="802"/>
      <c r="G40" s="1013">
        <v>8419</v>
      </c>
      <c r="H40" s="802"/>
      <c r="I40" s="1013">
        <v>20491</v>
      </c>
      <c r="J40" s="802"/>
      <c r="K40" s="807">
        <f>+A40</f>
        <v>18</v>
      </c>
    </row>
    <row r="41" spans="1:11" ht="10.8" thickTop="1">
      <c r="A41" s="807"/>
      <c r="B41" s="802"/>
      <c r="C41" s="802"/>
      <c r="D41" s="802"/>
      <c r="E41" s="821"/>
      <c r="F41" s="802"/>
      <c r="G41" s="802"/>
      <c r="H41" s="822"/>
      <c r="I41" s="822"/>
      <c r="J41" s="822"/>
      <c r="K41" s="822"/>
    </row>
    <row r="42" spans="1:11" ht="10.199999999999999">
      <c r="A42" s="807">
        <f>A40+1</f>
        <v>19</v>
      </c>
      <c r="B42" s="802"/>
      <c r="C42" s="819" t="s">
        <v>1393</v>
      </c>
      <c r="D42" s="809" t="s">
        <v>825</v>
      </c>
      <c r="E42" s="805" t="s">
        <v>22</v>
      </c>
      <c r="F42" s="805"/>
      <c r="G42" s="805" t="s">
        <v>22</v>
      </c>
      <c r="H42" s="805"/>
      <c r="I42" s="805" t="s">
        <v>22</v>
      </c>
      <c r="J42" s="805"/>
      <c r="K42" s="807">
        <f>+A42</f>
        <v>19</v>
      </c>
    </row>
    <row r="43" spans="1:11" ht="10.199999999999999">
      <c r="A43" s="800"/>
      <c r="B43" s="801"/>
      <c r="C43" s="801"/>
      <c r="D43" s="802"/>
      <c r="E43" s="823"/>
      <c r="F43" s="802"/>
      <c r="G43" s="824"/>
      <c r="H43" s="816"/>
      <c r="I43" s="824"/>
      <c r="J43" s="816"/>
      <c r="K43" s="824"/>
    </row>
    <row r="44" spans="1:11" ht="10.199999999999999">
      <c r="A44" s="807">
        <f>A42+1</f>
        <v>20</v>
      </c>
      <c r="B44" s="802"/>
      <c r="C44" s="802" t="s">
        <v>867</v>
      </c>
      <c r="D44" s="807"/>
      <c r="E44" s="825">
        <v>4.5786698107366595E-2</v>
      </c>
      <c r="F44" s="802"/>
      <c r="G44" s="1014">
        <v>5.2937854828225245E-2</v>
      </c>
      <c r="H44" s="825"/>
      <c r="I44" s="1014">
        <v>0.12413997453951996</v>
      </c>
      <c r="J44" s="816"/>
      <c r="K44" s="807">
        <f>+A44</f>
        <v>20</v>
      </c>
    </row>
    <row r="45" spans="1:11" ht="10.199999999999999">
      <c r="A45" s="807"/>
      <c r="B45" s="802"/>
      <c r="C45" s="802"/>
      <c r="D45" s="802"/>
      <c r="E45" s="802"/>
      <c r="F45" s="802"/>
      <c r="G45" s="802"/>
      <c r="H45" s="816"/>
      <c r="I45" s="802"/>
      <c r="J45" s="807"/>
      <c r="K45" s="807"/>
    </row>
    <row r="46" spans="1:11" ht="10.199999999999999">
      <c r="A46" s="807"/>
      <c r="B46" s="802"/>
      <c r="C46" s="826" t="s">
        <v>1827</v>
      </c>
      <c r="D46" s="802"/>
      <c r="E46" s="825"/>
      <c r="F46" s="802"/>
      <c r="G46" s="825"/>
      <c r="H46" s="802"/>
      <c r="I46" s="814"/>
      <c r="J46" s="807"/>
      <c r="K46" s="807"/>
    </row>
    <row r="47" spans="1:11" ht="10.199999999999999">
      <c r="A47" s="807"/>
      <c r="B47" s="802"/>
      <c r="C47" s="802"/>
      <c r="D47" s="802"/>
      <c r="E47" s="802"/>
      <c r="F47" s="802"/>
      <c r="G47" s="802"/>
      <c r="H47" s="802"/>
      <c r="I47" s="802"/>
      <c r="J47" s="807"/>
      <c r="K47" s="807"/>
    </row>
    <row r="48" spans="1:11" ht="10.199999999999999">
      <c r="A48" s="807"/>
      <c r="B48" s="802"/>
      <c r="C48" s="802" t="s">
        <v>1394</v>
      </c>
      <c r="D48" s="802"/>
      <c r="E48" s="802"/>
      <c r="F48" s="802"/>
      <c r="G48" s="802"/>
      <c r="H48" s="802"/>
      <c r="I48" s="802"/>
      <c r="J48" s="807"/>
      <c r="K48" s="807"/>
    </row>
    <row r="49" spans="1:11" ht="10.199999999999999">
      <c r="A49" s="807"/>
      <c r="B49" s="802"/>
      <c r="C49" s="802"/>
      <c r="D49" s="802"/>
      <c r="E49" s="802"/>
      <c r="F49" s="802"/>
      <c r="G49" s="802"/>
      <c r="H49" s="802"/>
      <c r="I49" s="802"/>
      <c r="J49" s="807"/>
      <c r="K49" s="807"/>
    </row>
    <row r="50" spans="1:11" s="834" customFormat="1" ht="10.199999999999999">
      <c r="A50" s="827"/>
      <c r="B50" s="828"/>
      <c r="C50" s="829" t="s">
        <v>826</v>
      </c>
      <c r="D50" s="830"/>
      <c r="E50" s="831" t="s">
        <v>990</v>
      </c>
      <c r="F50" s="831"/>
      <c r="G50" s="831"/>
      <c r="H50" s="832"/>
      <c r="I50" s="832"/>
      <c r="J50" s="833"/>
      <c r="K50" s="833"/>
    </row>
    <row r="51" spans="1:11" s="796" customFormat="1" ht="10.199999999999999">
      <c r="A51" s="807"/>
      <c r="B51" s="802"/>
      <c r="C51" s="809" t="s">
        <v>870</v>
      </c>
      <c r="D51" s="801"/>
      <c r="E51" s="806" t="s">
        <v>1149</v>
      </c>
      <c r="F51" s="804"/>
      <c r="G51" s="804"/>
      <c r="H51" s="801"/>
      <c r="I51" s="801"/>
      <c r="J51" s="800"/>
      <c r="K51" s="800"/>
    </row>
    <row r="52" spans="1:11" s="796" customFormat="1" ht="10.199999999999999">
      <c r="A52" s="807"/>
      <c r="B52" s="802"/>
      <c r="C52" s="809"/>
      <c r="D52" s="801"/>
      <c r="E52" s="806"/>
      <c r="F52" s="804"/>
      <c r="G52" s="804"/>
      <c r="H52" s="801"/>
      <c r="I52" s="801"/>
      <c r="J52" s="800"/>
      <c r="K52" s="800"/>
    </row>
    <row r="53" spans="1:11" ht="10.199999999999999">
      <c r="A53" s="800"/>
      <c r="B53" s="801"/>
      <c r="C53" s="835" t="s">
        <v>1395</v>
      </c>
      <c r="D53" s="802"/>
      <c r="E53" s="836"/>
      <c r="F53" s="802"/>
      <c r="G53" s="802"/>
      <c r="H53" s="802"/>
      <c r="I53" s="802"/>
      <c r="J53" s="807"/>
      <c r="K53" s="807"/>
    </row>
    <row r="54" spans="1:11" ht="10.199999999999999">
      <c r="A54" s="800"/>
      <c r="B54" s="801"/>
      <c r="C54" s="805" t="s">
        <v>1147</v>
      </c>
      <c r="D54" s="802"/>
      <c r="E54" s="821">
        <f>'E2'!B41</f>
        <v>6943</v>
      </c>
      <c r="F54" s="802"/>
      <c r="G54" s="821">
        <v>8418.6471744030987</v>
      </c>
      <c r="H54" s="821"/>
      <c r="I54" s="821">
        <v>20491.18180496537</v>
      </c>
      <c r="J54" s="807"/>
      <c r="K54" s="807"/>
    </row>
    <row r="55" spans="1:11" ht="10.199999999999999">
      <c r="A55" s="800"/>
      <c r="B55" s="801"/>
      <c r="C55" s="805" t="s">
        <v>3</v>
      </c>
      <c r="D55" s="802"/>
      <c r="E55" s="821">
        <f>E40-E54</f>
        <v>0</v>
      </c>
      <c r="F55" s="802"/>
      <c r="G55" s="821">
        <f>+G40-G54</f>
        <v>0.35282559690131166</v>
      </c>
      <c r="H55" s="802"/>
      <c r="I55" s="821">
        <f>+I40-I54</f>
        <v>-0.18180496537024737</v>
      </c>
      <c r="J55" s="807"/>
      <c r="K55" s="807"/>
    </row>
    <row r="130" spans="1:1">
      <c r="A130" s="795" t="s">
        <v>181</v>
      </c>
    </row>
  </sheetData>
  <mergeCells count="5">
    <mergeCell ref="G8:I9"/>
    <mergeCell ref="A3:K3"/>
    <mergeCell ref="A4:K4"/>
    <mergeCell ref="A5:K5"/>
    <mergeCell ref="A6:K6"/>
  </mergeCells>
  <printOptions horizontalCentered="1"/>
  <pageMargins left="0.7" right="0.7" top="0.75" bottom="0.75" header="0.3" footer="0.3"/>
  <pageSetup scale="90" fitToHeight="0" orientation="landscape" r:id="rId1"/>
  <headerFooter alignWithMargins="0"/>
  <rowBreaks count="1" manualBreakCount="1">
    <brk id="72" max="65535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D1E2-094B-43F2-9550-052193610216}">
  <sheetPr transitionEvaluation="1" transitionEntry="1">
    <tabColor rgb="FFFFFFCC"/>
  </sheetPr>
  <dimension ref="A1:R54"/>
  <sheetViews>
    <sheetView showGridLines="0" zoomScaleNormal="100" zoomScaleSheetLayoutView="100" workbookViewId="0"/>
  </sheetViews>
  <sheetFormatPr defaultRowHeight="8.4"/>
  <cols>
    <col min="1" max="1" width="4.33203125" style="796" customWidth="1"/>
    <col min="2" max="2" width="2.88671875" style="796" customWidth="1"/>
    <col min="3" max="3" width="42.109375" style="796" customWidth="1"/>
    <col min="4" max="4" width="4.33203125" style="797" customWidth="1"/>
    <col min="5" max="5" width="14.44140625" style="797" customWidth="1"/>
    <col min="6" max="6" width="2.88671875" style="797" customWidth="1"/>
    <col min="7" max="7" width="12.109375" style="797" customWidth="1"/>
    <col min="8" max="8" width="2.88671875" style="797" customWidth="1"/>
    <col min="9" max="9" width="12.109375" style="797" customWidth="1"/>
    <col min="10" max="10" width="2.88671875" style="797" customWidth="1"/>
    <col min="11" max="11" width="4.33203125" style="795" customWidth="1"/>
    <col min="12" max="12" width="4.33203125" style="797" customWidth="1"/>
    <col min="13" max="15" width="8.6640625" style="797"/>
    <col min="16" max="18" width="8.6640625" style="799"/>
    <col min="19" max="256" width="8.6640625" style="797"/>
    <col min="257" max="257" width="4.33203125" style="797" customWidth="1"/>
    <col min="258" max="258" width="2.88671875" style="797" customWidth="1"/>
    <col min="259" max="259" width="40" style="797" customWidth="1"/>
    <col min="260" max="260" width="4.33203125" style="797" customWidth="1"/>
    <col min="261" max="261" width="14.44140625" style="797" customWidth="1"/>
    <col min="262" max="262" width="2.88671875" style="797" customWidth="1"/>
    <col min="263" max="263" width="12.109375" style="797" customWidth="1"/>
    <col min="264" max="264" width="2.88671875" style="797" customWidth="1"/>
    <col min="265" max="265" width="12.109375" style="797" customWidth="1"/>
    <col min="266" max="266" width="2.88671875" style="797" customWidth="1"/>
    <col min="267" max="268" width="4.33203125" style="797" customWidth="1"/>
    <col min="269" max="512" width="8.6640625" style="797"/>
    <col min="513" max="513" width="4.33203125" style="797" customWidth="1"/>
    <col min="514" max="514" width="2.88671875" style="797" customWidth="1"/>
    <col min="515" max="515" width="40" style="797" customWidth="1"/>
    <col min="516" max="516" width="4.33203125" style="797" customWidth="1"/>
    <col min="517" max="517" width="14.44140625" style="797" customWidth="1"/>
    <col min="518" max="518" width="2.88671875" style="797" customWidth="1"/>
    <col min="519" max="519" width="12.109375" style="797" customWidth="1"/>
    <col min="520" max="520" width="2.88671875" style="797" customWidth="1"/>
    <col min="521" max="521" width="12.109375" style="797" customWidth="1"/>
    <col min="522" max="522" width="2.88671875" style="797" customWidth="1"/>
    <col min="523" max="524" width="4.33203125" style="797" customWidth="1"/>
    <col min="525" max="768" width="8.6640625" style="797"/>
    <col min="769" max="769" width="4.33203125" style="797" customWidth="1"/>
    <col min="770" max="770" width="2.88671875" style="797" customWidth="1"/>
    <col min="771" max="771" width="40" style="797" customWidth="1"/>
    <col min="772" max="772" width="4.33203125" style="797" customWidth="1"/>
    <col min="773" max="773" width="14.44140625" style="797" customWidth="1"/>
    <col min="774" max="774" width="2.88671875" style="797" customWidth="1"/>
    <col min="775" max="775" width="12.109375" style="797" customWidth="1"/>
    <col min="776" max="776" width="2.88671875" style="797" customWidth="1"/>
    <col min="777" max="777" width="12.109375" style="797" customWidth="1"/>
    <col min="778" max="778" width="2.88671875" style="797" customWidth="1"/>
    <col min="779" max="780" width="4.33203125" style="797" customWidth="1"/>
    <col min="781" max="1024" width="8.6640625" style="797"/>
    <col min="1025" max="1025" width="4.33203125" style="797" customWidth="1"/>
    <col min="1026" max="1026" width="2.88671875" style="797" customWidth="1"/>
    <col min="1027" max="1027" width="40" style="797" customWidth="1"/>
    <col min="1028" max="1028" width="4.33203125" style="797" customWidth="1"/>
    <col min="1029" max="1029" width="14.44140625" style="797" customWidth="1"/>
    <col min="1030" max="1030" width="2.88671875" style="797" customWidth="1"/>
    <col min="1031" max="1031" width="12.109375" style="797" customWidth="1"/>
    <col min="1032" max="1032" width="2.88671875" style="797" customWidth="1"/>
    <col min="1033" max="1033" width="12.109375" style="797" customWidth="1"/>
    <col min="1034" max="1034" width="2.88671875" style="797" customWidth="1"/>
    <col min="1035" max="1036" width="4.33203125" style="797" customWidth="1"/>
    <col min="1037" max="1280" width="8.6640625" style="797"/>
    <col min="1281" max="1281" width="4.33203125" style="797" customWidth="1"/>
    <col min="1282" max="1282" width="2.88671875" style="797" customWidth="1"/>
    <col min="1283" max="1283" width="40" style="797" customWidth="1"/>
    <col min="1284" max="1284" width="4.33203125" style="797" customWidth="1"/>
    <col min="1285" max="1285" width="14.44140625" style="797" customWidth="1"/>
    <col min="1286" max="1286" width="2.88671875" style="797" customWidth="1"/>
    <col min="1287" max="1287" width="12.109375" style="797" customWidth="1"/>
    <col min="1288" max="1288" width="2.88671875" style="797" customWidth="1"/>
    <col min="1289" max="1289" width="12.109375" style="797" customWidth="1"/>
    <col min="1290" max="1290" width="2.88671875" style="797" customWidth="1"/>
    <col min="1291" max="1292" width="4.33203125" style="797" customWidth="1"/>
    <col min="1293" max="1536" width="8.6640625" style="797"/>
    <col min="1537" max="1537" width="4.33203125" style="797" customWidth="1"/>
    <col min="1538" max="1538" width="2.88671875" style="797" customWidth="1"/>
    <col min="1539" max="1539" width="40" style="797" customWidth="1"/>
    <col min="1540" max="1540" width="4.33203125" style="797" customWidth="1"/>
    <col min="1541" max="1541" width="14.44140625" style="797" customWidth="1"/>
    <col min="1542" max="1542" width="2.88671875" style="797" customWidth="1"/>
    <col min="1543" max="1543" width="12.109375" style="797" customWidth="1"/>
    <col min="1544" max="1544" width="2.88671875" style="797" customWidth="1"/>
    <col min="1545" max="1545" width="12.109375" style="797" customWidth="1"/>
    <col min="1546" max="1546" width="2.88671875" style="797" customWidth="1"/>
    <col min="1547" max="1548" width="4.33203125" style="797" customWidth="1"/>
    <col min="1549" max="1792" width="8.6640625" style="797"/>
    <col min="1793" max="1793" width="4.33203125" style="797" customWidth="1"/>
    <col min="1794" max="1794" width="2.88671875" style="797" customWidth="1"/>
    <col min="1795" max="1795" width="40" style="797" customWidth="1"/>
    <col min="1796" max="1796" width="4.33203125" style="797" customWidth="1"/>
    <col min="1797" max="1797" width="14.44140625" style="797" customWidth="1"/>
    <col min="1798" max="1798" width="2.88671875" style="797" customWidth="1"/>
    <col min="1799" max="1799" width="12.109375" style="797" customWidth="1"/>
    <col min="1800" max="1800" width="2.88671875" style="797" customWidth="1"/>
    <col min="1801" max="1801" width="12.109375" style="797" customWidth="1"/>
    <col min="1802" max="1802" width="2.88671875" style="797" customWidth="1"/>
    <col min="1803" max="1804" width="4.33203125" style="797" customWidth="1"/>
    <col min="1805" max="2048" width="8.6640625" style="797"/>
    <col min="2049" max="2049" width="4.33203125" style="797" customWidth="1"/>
    <col min="2050" max="2050" width="2.88671875" style="797" customWidth="1"/>
    <col min="2051" max="2051" width="40" style="797" customWidth="1"/>
    <col min="2052" max="2052" width="4.33203125" style="797" customWidth="1"/>
    <col min="2053" max="2053" width="14.44140625" style="797" customWidth="1"/>
    <col min="2054" max="2054" width="2.88671875" style="797" customWidth="1"/>
    <col min="2055" max="2055" width="12.109375" style="797" customWidth="1"/>
    <col min="2056" max="2056" width="2.88671875" style="797" customWidth="1"/>
    <col min="2057" max="2057" width="12.109375" style="797" customWidth="1"/>
    <col min="2058" max="2058" width="2.88671875" style="797" customWidth="1"/>
    <col min="2059" max="2060" width="4.33203125" style="797" customWidth="1"/>
    <col min="2061" max="2304" width="8.6640625" style="797"/>
    <col min="2305" max="2305" width="4.33203125" style="797" customWidth="1"/>
    <col min="2306" max="2306" width="2.88671875" style="797" customWidth="1"/>
    <col min="2307" max="2307" width="40" style="797" customWidth="1"/>
    <col min="2308" max="2308" width="4.33203125" style="797" customWidth="1"/>
    <col min="2309" max="2309" width="14.44140625" style="797" customWidth="1"/>
    <col min="2310" max="2310" width="2.88671875" style="797" customWidth="1"/>
    <col min="2311" max="2311" width="12.109375" style="797" customWidth="1"/>
    <col min="2312" max="2312" width="2.88671875" style="797" customWidth="1"/>
    <col min="2313" max="2313" width="12.109375" style="797" customWidth="1"/>
    <col min="2314" max="2314" width="2.88671875" style="797" customWidth="1"/>
    <col min="2315" max="2316" width="4.33203125" style="797" customWidth="1"/>
    <col min="2317" max="2560" width="8.6640625" style="797"/>
    <col min="2561" max="2561" width="4.33203125" style="797" customWidth="1"/>
    <col min="2562" max="2562" width="2.88671875" style="797" customWidth="1"/>
    <col min="2563" max="2563" width="40" style="797" customWidth="1"/>
    <col min="2564" max="2564" width="4.33203125" style="797" customWidth="1"/>
    <col min="2565" max="2565" width="14.44140625" style="797" customWidth="1"/>
    <col min="2566" max="2566" width="2.88671875" style="797" customWidth="1"/>
    <col min="2567" max="2567" width="12.109375" style="797" customWidth="1"/>
    <col min="2568" max="2568" width="2.88671875" style="797" customWidth="1"/>
    <col min="2569" max="2569" width="12.109375" style="797" customWidth="1"/>
    <col min="2570" max="2570" width="2.88671875" style="797" customWidth="1"/>
    <col min="2571" max="2572" width="4.33203125" style="797" customWidth="1"/>
    <col min="2573" max="2816" width="8.6640625" style="797"/>
    <col min="2817" max="2817" width="4.33203125" style="797" customWidth="1"/>
    <col min="2818" max="2818" width="2.88671875" style="797" customWidth="1"/>
    <col min="2819" max="2819" width="40" style="797" customWidth="1"/>
    <col min="2820" max="2820" width="4.33203125" style="797" customWidth="1"/>
    <col min="2821" max="2821" width="14.44140625" style="797" customWidth="1"/>
    <col min="2822" max="2822" width="2.88671875" style="797" customWidth="1"/>
    <col min="2823" max="2823" width="12.109375" style="797" customWidth="1"/>
    <col min="2824" max="2824" width="2.88671875" style="797" customWidth="1"/>
    <col min="2825" max="2825" width="12.109375" style="797" customWidth="1"/>
    <col min="2826" max="2826" width="2.88671875" style="797" customWidth="1"/>
    <col min="2827" max="2828" width="4.33203125" style="797" customWidth="1"/>
    <col min="2829" max="3072" width="8.6640625" style="797"/>
    <col min="3073" max="3073" width="4.33203125" style="797" customWidth="1"/>
    <col min="3074" max="3074" width="2.88671875" style="797" customWidth="1"/>
    <col min="3075" max="3075" width="40" style="797" customWidth="1"/>
    <col min="3076" max="3076" width="4.33203125" style="797" customWidth="1"/>
    <col min="3077" max="3077" width="14.44140625" style="797" customWidth="1"/>
    <col min="3078" max="3078" width="2.88671875" style="797" customWidth="1"/>
    <col min="3079" max="3079" width="12.109375" style="797" customWidth="1"/>
    <col min="3080" max="3080" width="2.88671875" style="797" customWidth="1"/>
    <col min="3081" max="3081" width="12.109375" style="797" customWidth="1"/>
    <col min="3082" max="3082" width="2.88671875" style="797" customWidth="1"/>
    <col min="3083" max="3084" width="4.33203125" style="797" customWidth="1"/>
    <col min="3085" max="3328" width="8.6640625" style="797"/>
    <col min="3329" max="3329" width="4.33203125" style="797" customWidth="1"/>
    <col min="3330" max="3330" width="2.88671875" style="797" customWidth="1"/>
    <col min="3331" max="3331" width="40" style="797" customWidth="1"/>
    <col min="3332" max="3332" width="4.33203125" style="797" customWidth="1"/>
    <col min="3333" max="3333" width="14.44140625" style="797" customWidth="1"/>
    <col min="3334" max="3334" width="2.88671875" style="797" customWidth="1"/>
    <col min="3335" max="3335" width="12.109375" style="797" customWidth="1"/>
    <col min="3336" max="3336" width="2.88671875" style="797" customWidth="1"/>
    <col min="3337" max="3337" width="12.109375" style="797" customWidth="1"/>
    <col min="3338" max="3338" width="2.88671875" style="797" customWidth="1"/>
    <col min="3339" max="3340" width="4.33203125" style="797" customWidth="1"/>
    <col min="3341" max="3584" width="8.6640625" style="797"/>
    <col min="3585" max="3585" width="4.33203125" style="797" customWidth="1"/>
    <col min="3586" max="3586" width="2.88671875" style="797" customWidth="1"/>
    <col min="3587" max="3587" width="40" style="797" customWidth="1"/>
    <col min="3588" max="3588" width="4.33203125" style="797" customWidth="1"/>
    <col min="3589" max="3589" width="14.44140625" style="797" customWidth="1"/>
    <col min="3590" max="3590" width="2.88671875" style="797" customWidth="1"/>
    <col min="3591" max="3591" width="12.109375" style="797" customWidth="1"/>
    <col min="3592" max="3592" width="2.88671875" style="797" customWidth="1"/>
    <col min="3593" max="3593" width="12.109375" style="797" customWidth="1"/>
    <col min="3594" max="3594" width="2.88671875" style="797" customWidth="1"/>
    <col min="3595" max="3596" width="4.33203125" style="797" customWidth="1"/>
    <col min="3597" max="3840" width="8.6640625" style="797"/>
    <col min="3841" max="3841" width="4.33203125" style="797" customWidth="1"/>
    <col min="3842" max="3842" width="2.88671875" style="797" customWidth="1"/>
    <col min="3843" max="3843" width="40" style="797" customWidth="1"/>
    <col min="3844" max="3844" width="4.33203125" style="797" customWidth="1"/>
    <col min="3845" max="3845" width="14.44140625" style="797" customWidth="1"/>
    <col min="3846" max="3846" width="2.88671875" style="797" customWidth="1"/>
    <col min="3847" max="3847" width="12.109375" style="797" customWidth="1"/>
    <col min="3848" max="3848" width="2.88671875" style="797" customWidth="1"/>
    <col min="3849" max="3849" width="12.109375" style="797" customWidth="1"/>
    <col min="3850" max="3850" width="2.88671875" style="797" customWidth="1"/>
    <col min="3851" max="3852" width="4.33203125" style="797" customWidth="1"/>
    <col min="3853" max="4096" width="8.6640625" style="797"/>
    <col min="4097" max="4097" width="4.33203125" style="797" customWidth="1"/>
    <col min="4098" max="4098" width="2.88671875" style="797" customWidth="1"/>
    <col min="4099" max="4099" width="40" style="797" customWidth="1"/>
    <col min="4100" max="4100" width="4.33203125" style="797" customWidth="1"/>
    <col min="4101" max="4101" width="14.44140625" style="797" customWidth="1"/>
    <col min="4102" max="4102" width="2.88671875" style="797" customWidth="1"/>
    <col min="4103" max="4103" width="12.109375" style="797" customWidth="1"/>
    <col min="4104" max="4104" width="2.88671875" style="797" customWidth="1"/>
    <col min="4105" max="4105" width="12.109375" style="797" customWidth="1"/>
    <col min="4106" max="4106" width="2.88671875" style="797" customWidth="1"/>
    <col min="4107" max="4108" width="4.33203125" style="797" customWidth="1"/>
    <col min="4109" max="4352" width="8.6640625" style="797"/>
    <col min="4353" max="4353" width="4.33203125" style="797" customWidth="1"/>
    <col min="4354" max="4354" width="2.88671875" style="797" customWidth="1"/>
    <col min="4355" max="4355" width="40" style="797" customWidth="1"/>
    <col min="4356" max="4356" width="4.33203125" style="797" customWidth="1"/>
    <col min="4357" max="4357" width="14.44140625" style="797" customWidth="1"/>
    <col min="4358" max="4358" width="2.88671875" style="797" customWidth="1"/>
    <col min="4359" max="4359" width="12.109375" style="797" customWidth="1"/>
    <col min="4360" max="4360" width="2.88671875" style="797" customWidth="1"/>
    <col min="4361" max="4361" width="12.109375" style="797" customWidth="1"/>
    <col min="4362" max="4362" width="2.88671875" style="797" customWidth="1"/>
    <col min="4363" max="4364" width="4.33203125" style="797" customWidth="1"/>
    <col min="4365" max="4608" width="8.6640625" style="797"/>
    <col min="4609" max="4609" width="4.33203125" style="797" customWidth="1"/>
    <col min="4610" max="4610" width="2.88671875" style="797" customWidth="1"/>
    <col min="4611" max="4611" width="40" style="797" customWidth="1"/>
    <col min="4612" max="4612" width="4.33203125" style="797" customWidth="1"/>
    <col min="4613" max="4613" width="14.44140625" style="797" customWidth="1"/>
    <col min="4614" max="4614" width="2.88671875" style="797" customWidth="1"/>
    <col min="4615" max="4615" width="12.109375" style="797" customWidth="1"/>
    <col min="4616" max="4616" width="2.88671875" style="797" customWidth="1"/>
    <col min="4617" max="4617" width="12.109375" style="797" customWidth="1"/>
    <col min="4618" max="4618" width="2.88671875" style="797" customWidth="1"/>
    <col min="4619" max="4620" width="4.33203125" style="797" customWidth="1"/>
    <col min="4621" max="4864" width="8.6640625" style="797"/>
    <col min="4865" max="4865" width="4.33203125" style="797" customWidth="1"/>
    <col min="4866" max="4866" width="2.88671875" style="797" customWidth="1"/>
    <col min="4867" max="4867" width="40" style="797" customWidth="1"/>
    <col min="4868" max="4868" width="4.33203125" style="797" customWidth="1"/>
    <col min="4869" max="4869" width="14.44140625" style="797" customWidth="1"/>
    <col min="4870" max="4870" width="2.88671875" style="797" customWidth="1"/>
    <col min="4871" max="4871" width="12.109375" style="797" customWidth="1"/>
    <col min="4872" max="4872" width="2.88671875" style="797" customWidth="1"/>
    <col min="4873" max="4873" width="12.109375" style="797" customWidth="1"/>
    <col min="4874" max="4874" width="2.88671875" style="797" customWidth="1"/>
    <col min="4875" max="4876" width="4.33203125" style="797" customWidth="1"/>
    <col min="4877" max="5120" width="8.6640625" style="797"/>
    <col min="5121" max="5121" width="4.33203125" style="797" customWidth="1"/>
    <col min="5122" max="5122" width="2.88671875" style="797" customWidth="1"/>
    <col min="5123" max="5123" width="40" style="797" customWidth="1"/>
    <col min="5124" max="5124" width="4.33203125" style="797" customWidth="1"/>
    <col min="5125" max="5125" width="14.44140625" style="797" customWidth="1"/>
    <col min="5126" max="5126" width="2.88671875" style="797" customWidth="1"/>
    <col min="5127" max="5127" width="12.109375" style="797" customWidth="1"/>
    <col min="5128" max="5128" width="2.88671875" style="797" customWidth="1"/>
    <col min="5129" max="5129" width="12.109375" style="797" customWidth="1"/>
    <col min="5130" max="5130" width="2.88671875" style="797" customWidth="1"/>
    <col min="5131" max="5132" width="4.33203125" style="797" customWidth="1"/>
    <col min="5133" max="5376" width="8.6640625" style="797"/>
    <col min="5377" max="5377" width="4.33203125" style="797" customWidth="1"/>
    <col min="5378" max="5378" width="2.88671875" style="797" customWidth="1"/>
    <col min="5379" max="5379" width="40" style="797" customWidth="1"/>
    <col min="5380" max="5380" width="4.33203125" style="797" customWidth="1"/>
    <col min="5381" max="5381" width="14.44140625" style="797" customWidth="1"/>
    <col min="5382" max="5382" width="2.88671875" style="797" customWidth="1"/>
    <col min="5383" max="5383" width="12.109375" style="797" customWidth="1"/>
    <col min="5384" max="5384" width="2.88671875" style="797" customWidth="1"/>
    <col min="5385" max="5385" width="12.109375" style="797" customWidth="1"/>
    <col min="5386" max="5386" width="2.88671875" style="797" customWidth="1"/>
    <col min="5387" max="5388" width="4.33203125" style="797" customWidth="1"/>
    <col min="5389" max="5632" width="8.6640625" style="797"/>
    <col min="5633" max="5633" width="4.33203125" style="797" customWidth="1"/>
    <col min="5634" max="5634" width="2.88671875" style="797" customWidth="1"/>
    <col min="5635" max="5635" width="40" style="797" customWidth="1"/>
    <col min="5636" max="5636" width="4.33203125" style="797" customWidth="1"/>
    <col min="5637" max="5637" width="14.44140625" style="797" customWidth="1"/>
    <col min="5638" max="5638" width="2.88671875" style="797" customWidth="1"/>
    <col min="5639" max="5639" width="12.109375" style="797" customWidth="1"/>
    <col min="5640" max="5640" width="2.88671875" style="797" customWidth="1"/>
    <col min="5641" max="5641" width="12.109375" style="797" customWidth="1"/>
    <col min="5642" max="5642" width="2.88671875" style="797" customWidth="1"/>
    <col min="5643" max="5644" width="4.33203125" style="797" customWidth="1"/>
    <col min="5645" max="5888" width="8.6640625" style="797"/>
    <col min="5889" max="5889" width="4.33203125" style="797" customWidth="1"/>
    <col min="5890" max="5890" width="2.88671875" style="797" customWidth="1"/>
    <col min="5891" max="5891" width="40" style="797" customWidth="1"/>
    <col min="5892" max="5892" width="4.33203125" style="797" customWidth="1"/>
    <col min="5893" max="5893" width="14.44140625" style="797" customWidth="1"/>
    <col min="5894" max="5894" width="2.88671875" style="797" customWidth="1"/>
    <col min="5895" max="5895" width="12.109375" style="797" customWidth="1"/>
    <col min="5896" max="5896" width="2.88671875" style="797" customWidth="1"/>
    <col min="5897" max="5897" width="12.109375" style="797" customWidth="1"/>
    <col min="5898" max="5898" width="2.88671875" style="797" customWidth="1"/>
    <col min="5899" max="5900" width="4.33203125" style="797" customWidth="1"/>
    <col min="5901" max="6144" width="8.6640625" style="797"/>
    <col min="6145" max="6145" width="4.33203125" style="797" customWidth="1"/>
    <col min="6146" max="6146" width="2.88671875" style="797" customWidth="1"/>
    <col min="6147" max="6147" width="40" style="797" customWidth="1"/>
    <col min="6148" max="6148" width="4.33203125" style="797" customWidth="1"/>
    <col min="6149" max="6149" width="14.44140625" style="797" customWidth="1"/>
    <col min="6150" max="6150" width="2.88671875" style="797" customWidth="1"/>
    <col min="6151" max="6151" width="12.109375" style="797" customWidth="1"/>
    <col min="6152" max="6152" width="2.88671875" style="797" customWidth="1"/>
    <col min="6153" max="6153" width="12.109375" style="797" customWidth="1"/>
    <col min="6154" max="6154" width="2.88671875" style="797" customWidth="1"/>
    <col min="6155" max="6156" width="4.33203125" style="797" customWidth="1"/>
    <col min="6157" max="6400" width="8.6640625" style="797"/>
    <col min="6401" max="6401" width="4.33203125" style="797" customWidth="1"/>
    <col min="6402" max="6402" width="2.88671875" style="797" customWidth="1"/>
    <col min="6403" max="6403" width="40" style="797" customWidth="1"/>
    <col min="6404" max="6404" width="4.33203125" style="797" customWidth="1"/>
    <col min="6405" max="6405" width="14.44140625" style="797" customWidth="1"/>
    <col min="6406" max="6406" width="2.88671875" style="797" customWidth="1"/>
    <col min="6407" max="6407" width="12.109375" style="797" customWidth="1"/>
    <col min="6408" max="6408" width="2.88671875" style="797" customWidth="1"/>
    <col min="6409" max="6409" width="12.109375" style="797" customWidth="1"/>
    <col min="6410" max="6410" width="2.88671875" style="797" customWidth="1"/>
    <col min="6411" max="6412" width="4.33203125" style="797" customWidth="1"/>
    <col min="6413" max="6656" width="8.6640625" style="797"/>
    <col min="6657" max="6657" width="4.33203125" style="797" customWidth="1"/>
    <col min="6658" max="6658" width="2.88671875" style="797" customWidth="1"/>
    <col min="6659" max="6659" width="40" style="797" customWidth="1"/>
    <col min="6660" max="6660" width="4.33203125" style="797" customWidth="1"/>
    <col min="6661" max="6661" width="14.44140625" style="797" customWidth="1"/>
    <col min="6662" max="6662" width="2.88671875" style="797" customWidth="1"/>
    <col min="6663" max="6663" width="12.109375" style="797" customWidth="1"/>
    <col min="6664" max="6664" width="2.88671875" style="797" customWidth="1"/>
    <col min="6665" max="6665" width="12.109375" style="797" customWidth="1"/>
    <col min="6666" max="6666" width="2.88671875" style="797" customWidth="1"/>
    <col min="6667" max="6668" width="4.33203125" style="797" customWidth="1"/>
    <col min="6669" max="6912" width="8.6640625" style="797"/>
    <col min="6913" max="6913" width="4.33203125" style="797" customWidth="1"/>
    <col min="6914" max="6914" width="2.88671875" style="797" customWidth="1"/>
    <col min="6915" max="6915" width="40" style="797" customWidth="1"/>
    <col min="6916" max="6916" width="4.33203125" style="797" customWidth="1"/>
    <col min="6917" max="6917" width="14.44140625" style="797" customWidth="1"/>
    <col min="6918" max="6918" width="2.88671875" style="797" customWidth="1"/>
    <col min="6919" max="6919" width="12.109375" style="797" customWidth="1"/>
    <col min="6920" max="6920" width="2.88671875" style="797" customWidth="1"/>
    <col min="6921" max="6921" width="12.109375" style="797" customWidth="1"/>
    <col min="6922" max="6922" width="2.88671875" style="797" customWidth="1"/>
    <col min="6923" max="6924" width="4.33203125" style="797" customWidth="1"/>
    <col min="6925" max="7168" width="8.6640625" style="797"/>
    <col min="7169" max="7169" width="4.33203125" style="797" customWidth="1"/>
    <col min="7170" max="7170" width="2.88671875" style="797" customWidth="1"/>
    <col min="7171" max="7171" width="40" style="797" customWidth="1"/>
    <col min="7172" max="7172" width="4.33203125" style="797" customWidth="1"/>
    <col min="7173" max="7173" width="14.44140625" style="797" customWidth="1"/>
    <col min="7174" max="7174" width="2.88671875" style="797" customWidth="1"/>
    <col min="7175" max="7175" width="12.109375" style="797" customWidth="1"/>
    <col min="7176" max="7176" width="2.88671875" style="797" customWidth="1"/>
    <col min="7177" max="7177" width="12.109375" style="797" customWidth="1"/>
    <col min="7178" max="7178" width="2.88671875" style="797" customWidth="1"/>
    <col min="7179" max="7180" width="4.33203125" style="797" customWidth="1"/>
    <col min="7181" max="7424" width="8.6640625" style="797"/>
    <col min="7425" max="7425" width="4.33203125" style="797" customWidth="1"/>
    <col min="7426" max="7426" width="2.88671875" style="797" customWidth="1"/>
    <col min="7427" max="7427" width="40" style="797" customWidth="1"/>
    <col min="7428" max="7428" width="4.33203125" style="797" customWidth="1"/>
    <col min="7429" max="7429" width="14.44140625" style="797" customWidth="1"/>
    <col min="7430" max="7430" width="2.88671875" style="797" customWidth="1"/>
    <col min="7431" max="7431" width="12.109375" style="797" customWidth="1"/>
    <col min="7432" max="7432" width="2.88671875" style="797" customWidth="1"/>
    <col min="7433" max="7433" width="12.109375" style="797" customWidth="1"/>
    <col min="7434" max="7434" width="2.88671875" style="797" customWidth="1"/>
    <col min="7435" max="7436" width="4.33203125" style="797" customWidth="1"/>
    <col min="7437" max="7680" width="8.6640625" style="797"/>
    <col min="7681" max="7681" width="4.33203125" style="797" customWidth="1"/>
    <col min="7682" max="7682" width="2.88671875" style="797" customWidth="1"/>
    <col min="7683" max="7683" width="40" style="797" customWidth="1"/>
    <col min="7684" max="7684" width="4.33203125" style="797" customWidth="1"/>
    <col min="7685" max="7685" width="14.44140625" style="797" customWidth="1"/>
    <col min="7686" max="7686" width="2.88671875" style="797" customWidth="1"/>
    <col min="7687" max="7687" width="12.109375" style="797" customWidth="1"/>
    <col min="7688" max="7688" width="2.88671875" style="797" customWidth="1"/>
    <col min="7689" max="7689" width="12.109375" style="797" customWidth="1"/>
    <col min="7690" max="7690" width="2.88671875" style="797" customWidth="1"/>
    <col min="7691" max="7692" width="4.33203125" style="797" customWidth="1"/>
    <col min="7693" max="7936" width="8.6640625" style="797"/>
    <col min="7937" max="7937" width="4.33203125" style="797" customWidth="1"/>
    <col min="7938" max="7938" width="2.88671875" style="797" customWidth="1"/>
    <col min="7939" max="7939" width="40" style="797" customWidth="1"/>
    <col min="7940" max="7940" width="4.33203125" style="797" customWidth="1"/>
    <col min="7941" max="7941" width="14.44140625" style="797" customWidth="1"/>
    <col min="7942" max="7942" width="2.88671875" style="797" customWidth="1"/>
    <col min="7943" max="7943" width="12.109375" style="797" customWidth="1"/>
    <col min="7944" max="7944" width="2.88671875" style="797" customWidth="1"/>
    <col min="7945" max="7945" width="12.109375" style="797" customWidth="1"/>
    <col min="7946" max="7946" width="2.88671875" style="797" customWidth="1"/>
    <col min="7947" max="7948" width="4.33203125" style="797" customWidth="1"/>
    <col min="7949" max="8192" width="8.6640625" style="797"/>
    <col min="8193" max="8193" width="4.33203125" style="797" customWidth="1"/>
    <col min="8194" max="8194" width="2.88671875" style="797" customWidth="1"/>
    <col min="8195" max="8195" width="40" style="797" customWidth="1"/>
    <col min="8196" max="8196" width="4.33203125" style="797" customWidth="1"/>
    <col min="8197" max="8197" width="14.44140625" style="797" customWidth="1"/>
    <col min="8198" max="8198" width="2.88671875" style="797" customWidth="1"/>
    <col min="8199" max="8199" width="12.109375" style="797" customWidth="1"/>
    <col min="8200" max="8200" width="2.88671875" style="797" customWidth="1"/>
    <col min="8201" max="8201" width="12.109375" style="797" customWidth="1"/>
    <col min="8202" max="8202" width="2.88671875" style="797" customWidth="1"/>
    <col min="8203" max="8204" width="4.33203125" style="797" customWidth="1"/>
    <col min="8205" max="8448" width="8.6640625" style="797"/>
    <col min="8449" max="8449" width="4.33203125" style="797" customWidth="1"/>
    <col min="8450" max="8450" width="2.88671875" style="797" customWidth="1"/>
    <col min="8451" max="8451" width="40" style="797" customWidth="1"/>
    <col min="8452" max="8452" width="4.33203125" style="797" customWidth="1"/>
    <col min="8453" max="8453" width="14.44140625" style="797" customWidth="1"/>
    <col min="8454" max="8454" width="2.88671875" style="797" customWidth="1"/>
    <col min="8455" max="8455" width="12.109375" style="797" customWidth="1"/>
    <col min="8456" max="8456" width="2.88671875" style="797" customWidth="1"/>
    <col min="8457" max="8457" width="12.109375" style="797" customWidth="1"/>
    <col min="8458" max="8458" width="2.88671875" style="797" customWidth="1"/>
    <col min="8459" max="8460" width="4.33203125" style="797" customWidth="1"/>
    <col min="8461" max="8704" width="8.6640625" style="797"/>
    <col min="8705" max="8705" width="4.33203125" style="797" customWidth="1"/>
    <col min="8706" max="8706" width="2.88671875" style="797" customWidth="1"/>
    <col min="8707" max="8707" width="40" style="797" customWidth="1"/>
    <col min="8708" max="8708" width="4.33203125" style="797" customWidth="1"/>
    <col min="8709" max="8709" width="14.44140625" style="797" customWidth="1"/>
    <col min="8710" max="8710" width="2.88671875" style="797" customWidth="1"/>
    <col min="8711" max="8711" width="12.109375" style="797" customWidth="1"/>
    <col min="8712" max="8712" width="2.88671875" style="797" customWidth="1"/>
    <col min="8713" max="8713" width="12.109375" style="797" customWidth="1"/>
    <col min="8714" max="8714" width="2.88671875" style="797" customWidth="1"/>
    <col min="8715" max="8716" width="4.33203125" style="797" customWidth="1"/>
    <col min="8717" max="8960" width="8.6640625" style="797"/>
    <col min="8961" max="8961" width="4.33203125" style="797" customWidth="1"/>
    <col min="8962" max="8962" width="2.88671875" style="797" customWidth="1"/>
    <col min="8963" max="8963" width="40" style="797" customWidth="1"/>
    <col min="8964" max="8964" width="4.33203125" style="797" customWidth="1"/>
    <col min="8965" max="8965" width="14.44140625" style="797" customWidth="1"/>
    <col min="8966" max="8966" width="2.88671875" style="797" customWidth="1"/>
    <col min="8967" max="8967" width="12.109375" style="797" customWidth="1"/>
    <col min="8968" max="8968" width="2.88671875" style="797" customWidth="1"/>
    <col min="8969" max="8969" width="12.109375" style="797" customWidth="1"/>
    <col min="8970" max="8970" width="2.88671875" style="797" customWidth="1"/>
    <col min="8971" max="8972" width="4.33203125" style="797" customWidth="1"/>
    <col min="8973" max="9216" width="8.6640625" style="797"/>
    <col min="9217" max="9217" width="4.33203125" style="797" customWidth="1"/>
    <col min="9218" max="9218" width="2.88671875" style="797" customWidth="1"/>
    <col min="9219" max="9219" width="40" style="797" customWidth="1"/>
    <col min="9220" max="9220" width="4.33203125" style="797" customWidth="1"/>
    <col min="9221" max="9221" width="14.44140625" style="797" customWidth="1"/>
    <col min="9222" max="9222" width="2.88671875" style="797" customWidth="1"/>
    <col min="9223" max="9223" width="12.109375" style="797" customWidth="1"/>
    <col min="9224" max="9224" width="2.88671875" style="797" customWidth="1"/>
    <col min="9225" max="9225" width="12.109375" style="797" customWidth="1"/>
    <col min="9226" max="9226" width="2.88671875" style="797" customWidth="1"/>
    <col min="9227" max="9228" width="4.33203125" style="797" customWidth="1"/>
    <col min="9229" max="9472" width="8.6640625" style="797"/>
    <col min="9473" max="9473" width="4.33203125" style="797" customWidth="1"/>
    <col min="9474" max="9474" width="2.88671875" style="797" customWidth="1"/>
    <col min="9475" max="9475" width="40" style="797" customWidth="1"/>
    <col min="9476" max="9476" width="4.33203125" style="797" customWidth="1"/>
    <col min="9477" max="9477" width="14.44140625" style="797" customWidth="1"/>
    <col min="9478" max="9478" width="2.88671875" style="797" customWidth="1"/>
    <col min="9479" max="9479" width="12.109375" style="797" customWidth="1"/>
    <col min="9480" max="9480" width="2.88671875" style="797" customWidth="1"/>
    <col min="9481" max="9481" width="12.109375" style="797" customWidth="1"/>
    <col min="9482" max="9482" width="2.88671875" style="797" customWidth="1"/>
    <col min="9483" max="9484" width="4.33203125" style="797" customWidth="1"/>
    <col min="9485" max="9728" width="8.6640625" style="797"/>
    <col min="9729" max="9729" width="4.33203125" style="797" customWidth="1"/>
    <col min="9730" max="9730" width="2.88671875" style="797" customWidth="1"/>
    <col min="9731" max="9731" width="40" style="797" customWidth="1"/>
    <col min="9732" max="9732" width="4.33203125" style="797" customWidth="1"/>
    <col min="9733" max="9733" width="14.44140625" style="797" customWidth="1"/>
    <col min="9734" max="9734" width="2.88671875" style="797" customWidth="1"/>
    <col min="9735" max="9735" width="12.109375" style="797" customWidth="1"/>
    <col min="9736" max="9736" width="2.88671875" style="797" customWidth="1"/>
    <col min="9737" max="9737" width="12.109375" style="797" customWidth="1"/>
    <col min="9738" max="9738" width="2.88671875" style="797" customWidth="1"/>
    <col min="9739" max="9740" width="4.33203125" style="797" customWidth="1"/>
    <col min="9741" max="9984" width="8.6640625" style="797"/>
    <col min="9985" max="9985" width="4.33203125" style="797" customWidth="1"/>
    <col min="9986" max="9986" width="2.88671875" style="797" customWidth="1"/>
    <col min="9987" max="9987" width="40" style="797" customWidth="1"/>
    <col min="9988" max="9988" width="4.33203125" style="797" customWidth="1"/>
    <col min="9989" max="9989" width="14.44140625" style="797" customWidth="1"/>
    <col min="9990" max="9990" width="2.88671875" style="797" customWidth="1"/>
    <col min="9991" max="9991" width="12.109375" style="797" customWidth="1"/>
    <col min="9992" max="9992" width="2.88671875" style="797" customWidth="1"/>
    <col min="9993" max="9993" width="12.109375" style="797" customWidth="1"/>
    <col min="9994" max="9994" width="2.88671875" style="797" customWidth="1"/>
    <col min="9995" max="9996" width="4.33203125" style="797" customWidth="1"/>
    <col min="9997" max="10240" width="8.6640625" style="797"/>
    <col min="10241" max="10241" width="4.33203125" style="797" customWidth="1"/>
    <col min="10242" max="10242" width="2.88671875" style="797" customWidth="1"/>
    <col min="10243" max="10243" width="40" style="797" customWidth="1"/>
    <col min="10244" max="10244" width="4.33203125" style="797" customWidth="1"/>
    <col min="10245" max="10245" width="14.44140625" style="797" customWidth="1"/>
    <col min="10246" max="10246" width="2.88671875" style="797" customWidth="1"/>
    <col min="10247" max="10247" width="12.109375" style="797" customWidth="1"/>
    <col min="10248" max="10248" width="2.88671875" style="797" customWidth="1"/>
    <col min="10249" max="10249" width="12.109375" style="797" customWidth="1"/>
    <col min="10250" max="10250" width="2.88671875" style="797" customWidth="1"/>
    <col min="10251" max="10252" width="4.33203125" style="797" customWidth="1"/>
    <col min="10253" max="10496" width="8.6640625" style="797"/>
    <col min="10497" max="10497" width="4.33203125" style="797" customWidth="1"/>
    <col min="10498" max="10498" width="2.88671875" style="797" customWidth="1"/>
    <col min="10499" max="10499" width="40" style="797" customWidth="1"/>
    <col min="10500" max="10500" width="4.33203125" style="797" customWidth="1"/>
    <col min="10501" max="10501" width="14.44140625" style="797" customWidth="1"/>
    <col min="10502" max="10502" width="2.88671875" style="797" customWidth="1"/>
    <col min="10503" max="10503" width="12.109375" style="797" customWidth="1"/>
    <col min="10504" max="10504" width="2.88671875" style="797" customWidth="1"/>
    <col min="10505" max="10505" width="12.109375" style="797" customWidth="1"/>
    <col min="10506" max="10506" width="2.88671875" style="797" customWidth="1"/>
    <col min="10507" max="10508" width="4.33203125" style="797" customWidth="1"/>
    <col min="10509" max="10752" width="8.6640625" style="797"/>
    <col min="10753" max="10753" width="4.33203125" style="797" customWidth="1"/>
    <col min="10754" max="10754" width="2.88671875" style="797" customWidth="1"/>
    <col min="10755" max="10755" width="40" style="797" customWidth="1"/>
    <col min="10756" max="10756" width="4.33203125" style="797" customWidth="1"/>
    <col min="10757" max="10757" width="14.44140625" style="797" customWidth="1"/>
    <col min="10758" max="10758" width="2.88671875" style="797" customWidth="1"/>
    <col min="10759" max="10759" width="12.109375" style="797" customWidth="1"/>
    <col min="10760" max="10760" width="2.88671875" style="797" customWidth="1"/>
    <col min="10761" max="10761" width="12.109375" style="797" customWidth="1"/>
    <col min="10762" max="10762" width="2.88671875" style="797" customWidth="1"/>
    <col min="10763" max="10764" width="4.33203125" style="797" customWidth="1"/>
    <col min="10765" max="11008" width="8.6640625" style="797"/>
    <col min="11009" max="11009" width="4.33203125" style="797" customWidth="1"/>
    <col min="11010" max="11010" width="2.88671875" style="797" customWidth="1"/>
    <col min="11011" max="11011" width="40" style="797" customWidth="1"/>
    <col min="11012" max="11012" width="4.33203125" style="797" customWidth="1"/>
    <col min="11013" max="11013" width="14.44140625" style="797" customWidth="1"/>
    <col min="11014" max="11014" width="2.88671875" style="797" customWidth="1"/>
    <col min="11015" max="11015" width="12.109375" style="797" customWidth="1"/>
    <col min="11016" max="11016" width="2.88671875" style="797" customWidth="1"/>
    <col min="11017" max="11017" width="12.109375" style="797" customWidth="1"/>
    <col min="11018" max="11018" width="2.88671875" style="797" customWidth="1"/>
    <col min="11019" max="11020" width="4.33203125" style="797" customWidth="1"/>
    <col min="11021" max="11264" width="8.6640625" style="797"/>
    <col min="11265" max="11265" width="4.33203125" style="797" customWidth="1"/>
    <col min="11266" max="11266" width="2.88671875" style="797" customWidth="1"/>
    <col min="11267" max="11267" width="40" style="797" customWidth="1"/>
    <col min="11268" max="11268" width="4.33203125" style="797" customWidth="1"/>
    <col min="11269" max="11269" width="14.44140625" style="797" customWidth="1"/>
    <col min="11270" max="11270" width="2.88671875" style="797" customWidth="1"/>
    <col min="11271" max="11271" width="12.109375" style="797" customWidth="1"/>
    <col min="11272" max="11272" width="2.88671875" style="797" customWidth="1"/>
    <col min="11273" max="11273" width="12.109375" style="797" customWidth="1"/>
    <col min="11274" max="11274" width="2.88671875" style="797" customWidth="1"/>
    <col min="11275" max="11276" width="4.33203125" style="797" customWidth="1"/>
    <col min="11277" max="11520" width="8.6640625" style="797"/>
    <col min="11521" max="11521" width="4.33203125" style="797" customWidth="1"/>
    <col min="11522" max="11522" width="2.88671875" style="797" customWidth="1"/>
    <col min="11523" max="11523" width="40" style="797" customWidth="1"/>
    <col min="11524" max="11524" width="4.33203125" style="797" customWidth="1"/>
    <col min="11525" max="11525" width="14.44140625" style="797" customWidth="1"/>
    <col min="11526" max="11526" width="2.88671875" style="797" customWidth="1"/>
    <col min="11527" max="11527" width="12.109375" style="797" customWidth="1"/>
    <col min="11528" max="11528" width="2.88671875" style="797" customWidth="1"/>
    <col min="11529" max="11529" width="12.109375" style="797" customWidth="1"/>
    <col min="11530" max="11530" width="2.88671875" style="797" customWidth="1"/>
    <col min="11531" max="11532" width="4.33203125" style="797" customWidth="1"/>
    <col min="11533" max="11776" width="8.6640625" style="797"/>
    <col min="11777" max="11777" width="4.33203125" style="797" customWidth="1"/>
    <col min="11778" max="11778" width="2.88671875" style="797" customWidth="1"/>
    <col min="11779" max="11779" width="40" style="797" customWidth="1"/>
    <col min="11780" max="11780" width="4.33203125" style="797" customWidth="1"/>
    <col min="11781" max="11781" width="14.44140625" style="797" customWidth="1"/>
    <col min="11782" max="11782" width="2.88671875" style="797" customWidth="1"/>
    <col min="11783" max="11783" width="12.109375" style="797" customWidth="1"/>
    <col min="11784" max="11784" width="2.88671875" style="797" customWidth="1"/>
    <col min="11785" max="11785" width="12.109375" style="797" customWidth="1"/>
    <col min="11786" max="11786" width="2.88671875" style="797" customWidth="1"/>
    <col min="11787" max="11788" width="4.33203125" style="797" customWidth="1"/>
    <col min="11789" max="12032" width="8.6640625" style="797"/>
    <col min="12033" max="12033" width="4.33203125" style="797" customWidth="1"/>
    <col min="12034" max="12034" width="2.88671875" style="797" customWidth="1"/>
    <col min="12035" max="12035" width="40" style="797" customWidth="1"/>
    <col min="12036" max="12036" width="4.33203125" style="797" customWidth="1"/>
    <col min="12037" max="12037" width="14.44140625" style="797" customWidth="1"/>
    <col min="12038" max="12038" width="2.88671875" style="797" customWidth="1"/>
    <col min="12039" max="12039" width="12.109375" style="797" customWidth="1"/>
    <col min="12040" max="12040" width="2.88671875" style="797" customWidth="1"/>
    <col min="12041" max="12041" width="12.109375" style="797" customWidth="1"/>
    <col min="12042" max="12042" width="2.88671875" style="797" customWidth="1"/>
    <col min="12043" max="12044" width="4.33203125" style="797" customWidth="1"/>
    <col min="12045" max="12288" width="8.6640625" style="797"/>
    <col min="12289" max="12289" width="4.33203125" style="797" customWidth="1"/>
    <col min="12290" max="12290" width="2.88671875" style="797" customWidth="1"/>
    <col min="12291" max="12291" width="40" style="797" customWidth="1"/>
    <col min="12292" max="12292" width="4.33203125" style="797" customWidth="1"/>
    <col min="12293" max="12293" width="14.44140625" style="797" customWidth="1"/>
    <col min="12294" max="12294" width="2.88671875" style="797" customWidth="1"/>
    <col min="12295" max="12295" width="12.109375" style="797" customWidth="1"/>
    <col min="12296" max="12296" width="2.88671875" style="797" customWidth="1"/>
    <col min="12297" max="12297" width="12.109375" style="797" customWidth="1"/>
    <col min="12298" max="12298" width="2.88671875" style="797" customWidth="1"/>
    <col min="12299" max="12300" width="4.33203125" style="797" customWidth="1"/>
    <col min="12301" max="12544" width="8.6640625" style="797"/>
    <col min="12545" max="12545" width="4.33203125" style="797" customWidth="1"/>
    <col min="12546" max="12546" width="2.88671875" style="797" customWidth="1"/>
    <col min="12547" max="12547" width="40" style="797" customWidth="1"/>
    <col min="12548" max="12548" width="4.33203125" style="797" customWidth="1"/>
    <col min="12549" max="12549" width="14.44140625" style="797" customWidth="1"/>
    <col min="12550" max="12550" width="2.88671875" style="797" customWidth="1"/>
    <col min="12551" max="12551" width="12.109375" style="797" customWidth="1"/>
    <col min="12552" max="12552" width="2.88671875" style="797" customWidth="1"/>
    <col min="12553" max="12553" width="12.109375" style="797" customWidth="1"/>
    <col min="12554" max="12554" width="2.88671875" style="797" customWidth="1"/>
    <col min="12555" max="12556" width="4.33203125" style="797" customWidth="1"/>
    <col min="12557" max="12800" width="8.6640625" style="797"/>
    <col min="12801" max="12801" width="4.33203125" style="797" customWidth="1"/>
    <col min="12802" max="12802" width="2.88671875" style="797" customWidth="1"/>
    <col min="12803" max="12803" width="40" style="797" customWidth="1"/>
    <col min="12804" max="12804" width="4.33203125" style="797" customWidth="1"/>
    <col min="12805" max="12805" width="14.44140625" style="797" customWidth="1"/>
    <col min="12806" max="12806" width="2.88671875" style="797" customWidth="1"/>
    <col min="12807" max="12807" width="12.109375" style="797" customWidth="1"/>
    <col min="12808" max="12808" width="2.88671875" style="797" customWidth="1"/>
    <col min="12809" max="12809" width="12.109375" style="797" customWidth="1"/>
    <col min="12810" max="12810" width="2.88671875" style="797" customWidth="1"/>
    <col min="12811" max="12812" width="4.33203125" style="797" customWidth="1"/>
    <col min="12813" max="13056" width="8.6640625" style="797"/>
    <col min="13057" max="13057" width="4.33203125" style="797" customWidth="1"/>
    <col min="13058" max="13058" width="2.88671875" style="797" customWidth="1"/>
    <col min="13059" max="13059" width="40" style="797" customWidth="1"/>
    <col min="13060" max="13060" width="4.33203125" style="797" customWidth="1"/>
    <col min="13061" max="13061" width="14.44140625" style="797" customWidth="1"/>
    <col min="13062" max="13062" width="2.88671875" style="797" customWidth="1"/>
    <col min="13063" max="13063" width="12.109375" style="797" customWidth="1"/>
    <col min="13064" max="13064" width="2.88671875" style="797" customWidth="1"/>
    <col min="13065" max="13065" width="12.109375" style="797" customWidth="1"/>
    <col min="13066" max="13066" width="2.88671875" style="797" customWidth="1"/>
    <col min="13067" max="13068" width="4.33203125" style="797" customWidth="1"/>
    <col min="13069" max="13312" width="8.6640625" style="797"/>
    <col min="13313" max="13313" width="4.33203125" style="797" customWidth="1"/>
    <col min="13314" max="13314" width="2.88671875" style="797" customWidth="1"/>
    <col min="13315" max="13315" width="40" style="797" customWidth="1"/>
    <col min="13316" max="13316" width="4.33203125" style="797" customWidth="1"/>
    <col min="13317" max="13317" width="14.44140625" style="797" customWidth="1"/>
    <col min="13318" max="13318" width="2.88671875" style="797" customWidth="1"/>
    <col min="13319" max="13319" width="12.109375" style="797" customWidth="1"/>
    <col min="13320" max="13320" width="2.88671875" style="797" customWidth="1"/>
    <col min="13321" max="13321" width="12.109375" style="797" customWidth="1"/>
    <col min="13322" max="13322" width="2.88671875" style="797" customWidth="1"/>
    <col min="13323" max="13324" width="4.33203125" style="797" customWidth="1"/>
    <col min="13325" max="13568" width="8.6640625" style="797"/>
    <col min="13569" max="13569" width="4.33203125" style="797" customWidth="1"/>
    <col min="13570" max="13570" width="2.88671875" style="797" customWidth="1"/>
    <col min="13571" max="13571" width="40" style="797" customWidth="1"/>
    <col min="13572" max="13572" width="4.33203125" style="797" customWidth="1"/>
    <col min="13573" max="13573" width="14.44140625" style="797" customWidth="1"/>
    <col min="13574" max="13574" width="2.88671875" style="797" customWidth="1"/>
    <col min="13575" max="13575" width="12.109375" style="797" customWidth="1"/>
    <col min="13576" max="13576" width="2.88671875" style="797" customWidth="1"/>
    <col min="13577" max="13577" width="12.109375" style="797" customWidth="1"/>
    <col min="13578" max="13578" width="2.88671875" style="797" customWidth="1"/>
    <col min="13579" max="13580" width="4.33203125" style="797" customWidth="1"/>
    <col min="13581" max="13824" width="8.6640625" style="797"/>
    <col min="13825" max="13825" width="4.33203125" style="797" customWidth="1"/>
    <col min="13826" max="13826" width="2.88671875" style="797" customWidth="1"/>
    <col min="13827" max="13827" width="40" style="797" customWidth="1"/>
    <col min="13828" max="13828" width="4.33203125" style="797" customWidth="1"/>
    <col min="13829" max="13829" width="14.44140625" style="797" customWidth="1"/>
    <col min="13830" max="13830" width="2.88671875" style="797" customWidth="1"/>
    <col min="13831" max="13831" width="12.109375" style="797" customWidth="1"/>
    <col min="13832" max="13832" width="2.88671875" style="797" customWidth="1"/>
    <col min="13833" max="13833" width="12.109375" style="797" customWidth="1"/>
    <col min="13834" max="13834" width="2.88671875" style="797" customWidth="1"/>
    <col min="13835" max="13836" width="4.33203125" style="797" customWidth="1"/>
    <col min="13837" max="14080" width="8.6640625" style="797"/>
    <col min="14081" max="14081" width="4.33203125" style="797" customWidth="1"/>
    <col min="14082" max="14082" width="2.88671875" style="797" customWidth="1"/>
    <col min="14083" max="14083" width="40" style="797" customWidth="1"/>
    <col min="14084" max="14084" width="4.33203125" style="797" customWidth="1"/>
    <col min="14085" max="14085" width="14.44140625" style="797" customWidth="1"/>
    <col min="14086" max="14086" width="2.88671875" style="797" customWidth="1"/>
    <col min="14087" max="14087" width="12.109375" style="797" customWidth="1"/>
    <col min="14088" max="14088" width="2.88671875" style="797" customWidth="1"/>
    <col min="14089" max="14089" width="12.109375" style="797" customWidth="1"/>
    <col min="14090" max="14090" width="2.88671875" style="797" customWidth="1"/>
    <col min="14091" max="14092" width="4.33203125" style="797" customWidth="1"/>
    <col min="14093" max="14336" width="8.6640625" style="797"/>
    <col min="14337" max="14337" width="4.33203125" style="797" customWidth="1"/>
    <col min="14338" max="14338" width="2.88671875" style="797" customWidth="1"/>
    <col min="14339" max="14339" width="40" style="797" customWidth="1"/>
    <col min="14340" max="14340" width="4.33203125" style="797" customWidth="1"/>
    <col min="14341" max="14341" width="14.44140625" style="797" customWidth="1"/>
    <col min="14342" max="14342" width="2.88671875" style="797" customWidth="1"/>
    <col min="14343" max="14343" width="12.109375" style="797" customWidth="1"/>
    <col min="14344" max="14344" width="2.88671875" style="797" customWidth="1"/>
    <col min="14345" max="14345" width="12.109375" style="797" customWidth="1"/>
    <col min="14346" max="14346" width="2.88671875" style="797" customWidth="1"/>
    <col min="14347" max="14348" width="4.33203125" style="797" customWidth="1"/>
    <col min="14349" max="14592" width="8.6640625" style="797"/>
    <col min="14593" max="14593" width="4.33203125" style="797" customWidth="1"/>
    <col min="14594" max="14594" width="2.88671875" style="797" customWidth="1"/>
    <col min="14595" max="14595" width="40" style="797" customWidth="1"/>
    <col min="14596" max="14596" width="4.33203125" style="797" customWidth="1"/>
    <col min="14597" max="14597" width="14.44140625" style="797" customWidth="1"/>
    <col min="14598" max="14598" width="2.88671875" style="797" customWidth="1"/>
    <col min="14599" max="14599" width="12.109375" style="797" customWidth="1"/>
    <col min="14600" max="14600" width="2.88671875" style="797" customWidth="1"/>
    <col min="14601" max="14601" width="12.109375" style="797" customWidth="1"/>
    <col min="14602" max="14602" width="2.88671875" style="797" customWidth="1"/>
    <col min="14603" max="14604" width="4.33203125" style="797" customWidth="1"/>
    <col min="14605" max="14848" width="8.6640625" style="797"/>
    <col min="14849" max="14849" width="4.33203125" style="797" customWidth="1"/>
    <col min="14850" max="14850" width="2.88671875" style="797" customWidth="1"/>
    <col min="14851" max="14851" width="40" style="797" customWidth="1"/>
    <col min="14852" max="14852" width="4.33203125" style="797" customWidth="1"/>
    <col min="14853" max="14853" width="14.44140625" style="797" customWidth="1"/>
    <col min="14854" max="14854" width="2.88671875" style="797" customWidth="1"/>
    <col min="14855" max="14855" width="12.109375" style="797" customWidth="1"/>
    <col min="14856" max="14856" width="2.88671875" style="797" customWidth="1"/>
    <col min="14857" max="14857" width="12.109375" style="797" customWidth="1"/>
    <col min="14858" max="14858" width="2.88671875" style="797" customWidth="1"/>
    <col min="14859" max="14860" width="4.33203125" style="797" customWidth="1"/>
    <col min="14861" max="15104" width="8.6640625" style="797"/>
    <col min="15105" max="15105" width="4.33203125" style="797" customWidth="1"/>
    <col min="15106" max="15106" width="2.88671875" style="797" customWidth="1"/>
    <col min="15107" max="15107" width="40" style="797" customWidth="1"/>
    <col min="15108" max="15108" width="4.33203125" style="797" customWidth="1"/>
    <col min="15109" max="15109" width="14.44140625" style="797" customWidth="1"/>
    <col min="15110" max="15110" width="2.88671875" style="797" customWidth="1"/>
    <col min="15111" max="15111" width="12.109375" style="797" customWidth="1"/>
    <col min="15112" max="15112" width="2.88671875" style="797" customWidth="1"/>
    <col min="15113" max="15113" width="12.109375" style="797" customWidth="1"/>
    <col min="15114" max="15114" width="2.88671875" style="797" customWidth="1"/>
    <col min="15115" max="15116" width="4.33203125" style="797" customWidth="1"/>
    <col min="15117" max="15360" width="8.6640625" style="797"/>
    <col min="15361" max="15361" width="4.33203125" style="797" customWidth="1"/>
    <col min="15362" max="15362" width="2.88671875" style="797" customWidth="1"/>
    <col min="15363" max="15363" width="40" style="797" customWidth="1"/>
    <col min="15364" max="15364" width="4.33203125" style="797" customWidth="1"/>
    <col min="15365" max="15365" width="14.44140625" style="797" customWidth="1"/>
    <col min="15366" max="15366" width="2.88671875" style="797" customWidth="1"/>
    <col min="15367" max="15367" width="12.109375" style="797" customWidth="1"/>
    <col min="15368" max="15368" width="2.88671875" style="797" customWidth="1"/>
    <col min="15369" max="15369" width="12.109375" style="797" customWidth="1"/>
    <col min="15370" max="15370" width="2.88671875" style="797" customWidth="1"/>
    <col min="15371" max="15372" width="4.33203125" style="797" customWidth="1"/>
    <col min="15373" max="15616" width="8.6640625" style="797"/>
    <col min="15617" max="15617" width="4.33203125" style="797" customWidth="1"/>
    <col min="15618" max="15618" width="2.88671875" style="797" customWidth="1"/>
    <col min="15619" max="15619" width="40" style="797" customWidth="1"/>
    <col min="15620" max="15620" width="4.33203125" style="797" customWidth="1"/>
    <col min="15621" max="15621" width="14.44140625" style="797" customWidth="1"/>
    <col min="15622" max="15622" width="2.88671875" style="797" customWidth="1"/>
    <col min="15623" max="15623" width="12.109375" style="797" customWidth="1"/>
    <col min="15624" max="15624" width="2.88671875" style="797" customWidth="1"/>
    <col min="15625" max="15625" width="12.109375" style="797" customWidth="1"/>
    <col min="15626" max="15626" width="2.88671875" style="797" customWidth="1"/>
    <col min="15627" max="15628" width="4.33203125" style="797" customWidth="1"/>
    <col min="15629" max="15872" width="8.6640625" style="797"/>
    <col min="15873" max="15873" width="4.33203125" style="797" customWidth="1"/>
    <col min="15874" max="15874" width="2.88671875" style="797" customWidth="1"/>
    <col min="15875" max="15875" width="40" style="797" customWidth="1"/>
    <col min="15876" max="15876" width="4.33203125" style="797" customWidth="1"/>
    <col min="15877" max="15877" width="14.44140625" style="797" customWidth="1"/>
    <col min="15878" max="15878" width="2.88671875" style="797" customWidth="1"/>
    <col min="15879" max="15879" width="12.109375" style="797" customWidth="1"/>
    <col min="15880" max="15880" width="2.88671875" style="797" customWidth="1"/>
    <col min="15881" max="15881" width="12.109375" style="797" customWidth="1"/>
    <col min="15882" max="15882" width="2.88671875" style="797" customWidth="1"/>
    <col min="15883" max="15884" width="4.33203125" style="797" customWidth="1"/>
    <col min="15885" max="16128" width="8.6640625" style="797"/>
    <col min="16129" max="16129" width="4.33203125" style="797" customWidth="1"/>
    <col min="16130" max="16130" width="2.88671875" style="797" customWidth="1"/>
    <col min="16131" max="16131" width="40" style="797" customWidth="1"/>
    <col min="16132" max="16132" width="4.33203125" style="797" customWidth="1"/>
    <col min="16133" max="16133" width="14.44140625" style="797" customWidth="1"/>
    <col min="16134" max="16134" width="2.88671875" style="797" customWidth="1"/>
    <col min="16135" max="16135" width="12.109375" style="797" customWidth="1"/>
    <col min="16136" max="16136" width="2.88671875" style="797" customWidth="1"/>
    <col min="16137" max="16137" width="12.109375" style="797" customWidth="1"/>
    <col min="16138" max="16138" width="2.88671875" style="797" customWidth="1"/>
    <col min="16139" max="16140" width="4.33203125" style="797" customWidth="1"/>
    <col min="16141" max="16384" width="8.6640625" style="797"/>
  </cols>
  <sheetData>
    <row r="1" spans="1:11" s="796" customFormat="1" ht="10.199999999999999">
      <c r="A1" s="838"/>
      <c r="B1" s="802"/>
      <c r="C1" s="802"/>
      <c r="D1" s="802"/>
      <c r="E1" s="802"/>
      <c r="F1" s="802"/>
      <c r="G1" s="802"/>
      <c r="H1" s="802"/>
      <c r="I1" s="802"/>
      <c r="J1" s="802"/>
      <c r="K1" s="798" t="s">
        <v>1396</v>
      </c>
    </row>
    <row r="2" spans="1:11" s="796" customFormat="1" ht="10.199999999999999">
      <c r="A2" s="801"/>
      <c r="B2" s="804"/>
      <c r="C2" s="804"/>
      <c r="D2" s="804"/>
      <c r="E2" s="804"/>
      <c r="F2" s="804"/>
      <c r="G2" s="804"/>
      <c r="H2" s="804"/>
      <c r="I2" s="804"/>
      <c r="J2" s="804"/>
      <c r="K2" s="805" t="s">
        <v>797</v>
      </c>
    </row>
    <row r="3" spans="1:11" s="796" customFormat="1" ht="10.199999999999999">
      <c r="A3" s="1215" t="s">
        <v>4</v>
      </c>
      <c r="B3" s="1215"/>
      <c r="C3" s="1215"/>
      <c r="D3" s="1215"/>
      <c r="E3" s="1215"/>
      <c r="F3" s="1215"/>
      <c r="G3" s="1215"/>
      <c r="H3" s="1215"/>
      <c r="I3" s="1215"/>
      <c r="J3" s="1215"/>
      <c r="K3" s="1215"/>
    </row>
    <row r="4" spans="1:11" s="796" customFormat="1" ht="10.199999999999999">
      <c r="A4" s="1215" t="s">
        <v>1431</v>
      </c>
      <c r="B4" s="1215"/>
      <c r="C4" s="1215"/>
      <c r="D4" s="1215"/>
      <c r="E4" s="1215"/>
      <c r="F4" s="1215"/>
      <c r="G4" s="1215"/>
      <c r="H4" s="1215"/>
      <c r="I4" s="1215"/>
      <c r="J4" s="1215"/>
      <c r="K4" s="1215"/>
    </row>
    <row r="5" spans="1:11" s="796" customFormat="1" ht="10.199999999999999">
      <c r="A5" s="1215" t="str">
        <f>'F1'!A5</f>
        <v>Projected Year Ended June 30, 2025 at Present and Proposed Rates</v>
      </c>
      <c r="B5" s="1215"/>
      <c r="C5" s="1215"/>
      <c r="D5" s="1215"/>
      <c r="E5" s="1215"/>
      <c r="F5" s="1215"/>
      <c r="G5" s="1215"/>
      <c r="H5" s="1215"/>
      <c r="I5" s="1215"/>
      <c r="J5" s="1215"/>
      <c r="K5" s="1215"/>
    </row>
    <row r="6" spans="1:11" s="840" customFormat="1" ht="10.199999999999999">
      <c r="A6" s="1216" t="s">
        <v>799</v>
      </c>
      <c r="B6" s="1216"/>
      <c r="C6" s="1216"/>
      <c r="D6" s="1216"/>
      <c r="E6" s="1216"/>
      <c r="F6" s="1216"/>
      <c r="G6" s="1216"/>
      <c r="H6" s="1216"/>
      <c r="I6" s="1216"/>
      <c r="J6" s="1216"/>
      <c r="K6" s="1216"/>
    </row>
    <row r="7" spans="1:11" s="840" customFormat="1" ht="10.199999999999999">
      <c r="A7" s="841"/>
      <c r="B7" s="839"/>
      <c r="C7" s="842"/>
      <c r="D7" s="839"/>
      <c r="E7" s="804"/>
      <c r="F7" s="839"/>
      <c r="G7" s="839"/>
      <c r="H7" s="839"/>
      <c r="I7" s="839"/>
      <c r="J7" s="839"/>
      <c r="K7" s="839"/>
    </row>
    <row r="8" spans="1:11" s="796" customFormat="1" ht="10.199999999999999">
      <c r="A8" s="802"/>
      <c r="B8" s="802"/>
      <c r="C8" s="839"/>
      <c r="D8" s="802"/>
      <c r="E8" s="804"/>
      <c r="F8" s="802"/>
      <c r="G8" s="1213" t="str">
        <f>'F1'!G8</f>
        <v>Projected Period Ended
June 30, 2025</v>
      </c>
      <c r="H8" s="1213"/>
      <c r="I8" s="1213"/>
      <c r="J8" s="802"/>
      <c r="K8" s="807"/>
    </row>
    <row r="9" spans="1:11" s="796" customFormat="1" ht="10.199999999999999">
      <c r="A9" s="802"/>
      <c r="B9" s="802"/>
      <c r="C9" s="839"/>
      <c r="D9" s="802"/>
      <c r="E9" s="804"/>
      <c r="F9" s="802"/>
      <c r="G9" s="1214"/>
      <c r="H9" s="1214"/>
      <c r="I9" s="1214"/>
      <c r="J9" s="802"/>
      <c r="K9" s="807"/>
    </row>
    <row r="10" spans="1:11" s="796" customFormat="1" ht="10.199999999999999">
      <c r="A10" s="807" t="s">
        <v>331</v>
      </c>
      <c r="B10" s="802"/>
      <c r="C10" s="802"/>
      <c r="D10" s="802"/>
      <c r="E10" s="809" t="s">
        <v>848</v>
      </c>
      <c r="F10" s="802"/>
      <c r="G10" s="807" t="s">
        <v>851</v>
      </c>
      <c r="H10" s="802"/>
      <c r="I10" s="807" t="s">
        <v>816</v>
      </c>
      <c r="J10" s="802" t="s">
        <v>181</v>
      </c>
      <c r="K10" s="807" t="s">
        <v>331</v>
      </c>
    </row>
    <row r="11" spans="1:11" s="796" customFormat="1" ht="10.199999999999999">
      <c r="A11" s="810" t="s">
        <v>333</v>
      </c>
      <c r="B11" s="802"/>
      <c r="C11" s="811" t="s">
        <v>0</v>
      </c>
      <c r="D11" s="802"/>
      <c r="E11" s="812" t="str">
        <f>'F1'!E11</f>
        <v>June 30, 2024  (a)</v>
      </c>
      <c r="F11" s="802"/>
      <c r="G11" s="810" t="s">
        <v>881</v>
      </c>
      <c r="H11" s="802"/>
      <c r="I11" s="810" t="s">
        <v>881</v>
      </c>
      <c r="J11" s="802" t="s">
        <v>181</v>
      </c>
      <c r="K11" s="810" t="s">
        <v>333</v>
      </c>
    </row>
    <row r="12" spans="1:11" s="796" customFormat="1" ht="10.199999999999999">
      <c r="A12" s="802"/>
      <c r="B12" s="802"/>
      <c r="C12" s="802"/>
      <c r="D12" s="802"/>
      <c r="E12" s="809"/>
      <c r="F12" s="802"/>
      <c r="G12" s="807"/>
      <c r="H12" s="802"/>
      <c r="I12" s="807"/>
      <c r="J12" s="802"/>
      <c r="K12" s="807"/>
    </row>
    <row r="13" spans="1:11" ht="10.199999999999999">
      <c r="A13" s="802" t="s">
        <v>988</v>
      </c>
      <c r="B13" s="802"/>
      <c r="C13" s="802" t="s">
        <v>1397</v>
      </c>
      <c r="D13" s="802"/>
      <c r="E13" s="802"/>
      <c r="F13" s="802"/>
      <c r="G13" s="802"/>
      <c r="H13" s="802"/>
      <c r="I13" s="802"/>
      <c r="J13" s="802"/>
      <c r="K13" s="800" t="s">
        <v>988</v>
      </c>
    </row>
    <row r="14" spans="1:11" ht="10.199999999999999">
      <c r="A14" s="843">
        <v>1</v>
      </c>
      <c r="B14" s="802"/>
      <c r="C14" s="802" t="s">
        <v>860</v>
      </c>
      <c r="D14" s="802"/>
      <c r="E14" s="844">
        <v>6943</v>
      </c>
      <c r="F14" s="815"/>
      <c r="G14" s="844">
        <v>8419</v>
      </c>
      <c r="H14" s="844"/>
      <c r="I14" s="844">
        <v>20491</v>
      </c>
      <c r="J14" s="802"/>
      <c r="K14" s="843">
        <f>+A14</f>
        <v>1</v>
      </c>
    </row>
    <row r="15" spans="1:11" ht="10.199999999999999">
      <c r="A15" s="843">
        <f>+A14+1</f>
        <v>2</v>
      </c>
      <c r="B15" s="802" t="s">
        <v>181</v>
      </c>
      <c r="C15" s="802" t="s">
        <v>1311</v>
      </c>
      <c r="D15" s="802"/>
      <c r="E15" s="845">
        <v>13578</v>
      </c>
      <c r="F15" s="815"/>
      <c r="G15" s="845">
        <v>14122</v>
      </c>
      <c r="H15" s="845"/>
      <c r="I15" s="845">
        <v>14790</v>
      </c>
      <c r="J15" s="815"/>
      <c r="K15" s="843">
        <f>+A15</f>
        <v>2</v>
      </c>
    </row>
    <row r="16" spans="1:11" ht="10.199999999999999">
      <c r="A16" s="843">
        <f t="shared" ref="A16:A19" si="0">+A15+1</f>
        <v>3</v>
      </c>
      <c r="B16" s="802"/>
      <c r="C16" s="802" t="s">
        <v>1312</v>
      </c>
      <c r="D16" s="802"/>
      <c r="E16" s="845">
        <v>108</v>
      </c>
      <c r="F16" s="815"/>
      <c r="G16" s="845">
        <v>41</v>
      </c>
      <c r="H16" s="845"/>
      <c r="I16" s="845">
        <v>41</v>
      </c>
      <c r="J16" s="815"/>
      <c r="K16" s="843">
        <f>+A16</f>
        <v>3</v>
      </c>
    </row>
    <row r="17" spans="1:11" ht="10.199999999999999">
      <c r="A17" s="843">
        <f t="shared" si="0"/>
        <v>4</v>
      </c>
      <c r="B17" s="802"/>
      <c r="C17" s="802" t="s">
        <v>1313</v>
      </c>
      <c r="D17" s="802"/>
      <c r="E17" s="845">
        <v>339</v>
      </c>
      <c r="F17" s="815"/>
      <c r="G17" s="845">
        <v>96</v>
      </c>
      <c r="H17" s="845"/>
      <c r="I17" s="845">
        <v>1102</v>
      </c>
      <c r="J17" s="816"/>
      <c r="K17" s="843">
        <f t="shared" ref="K17:K28" si="1">+A17</f>
        <v>4</v>
      </c>
    </row>
    <row r="18" spans="1:11" ht="10.199999999999999">
      <c r="A18" s="843">
        <f t="shared" si="0"/>
        <v>5</v>
      </c>
      <c r="B18" s="802"/>
      <c r="C18" s="802" t="s">
        <v>1907</v>
      </c>
      <c r="D18" s="802"/>
      <c r="E18" s="845">
        <v>377</v>
      </c>
      <c r="F18" s="815"/>
      <c r="G18" s="845">
        <v>298</v>
      </c>
      <c r="H18" s="845"/>
      <c r="I18" s="845">
        <v>298</v>
      </c>
      <c r="J18" s="816"/>
      <c r="K18" s="843">
        <f t="shared" si="1"/>
        <v>5</v>
      </c>
    </row>
    <row r="19" spans="1:11" ht="10.199999999999999">
      <c r="A19" s="843">
        <f t="shared" si="0"/>
        <v>6</v>
      </c>
      <c r="B19" s="802"/>
      <c r="C19" s="802" t="s">
        <v>1317</v>
      </c>
      <c r="D19" s="802"/>
      <c r="E19" s="845">
        <v>2</v>
      </c>
      <c r="F19" s="815"/>
      <c r="G19" s="845">
        <v>-71</v>
      </c>
      <c r="H19" s="845"/>
      <c r="I19" s="845">
        <v>-71</v>
      </c>
      <c r="J19" s="816"/>
      <c r="K19" s="843">
        <f t="shared" si="1"/>
        <v>6</v>
      </c>
    </row>
    <row r="20" spans="1:11" ht="10.199999999999999">
      <c r="A20" s="843"/>
      <c r="B20" s="802"/>
      <c r="C20" s="802" t="s">
        <v>1908</v>
      </c>
      <c r="D20" s="802"/>
      <c r="E20" s="845"/>
      <c r="F20" s="815"/>
      <c r="G20" s="845"/>
      <c r="H20" s="845"/>
      <c r="I20" s="845"/>
      <c r="J20" s="816"/>
      <c r="K20" s="843"/>
    </row>
    <row r="21" spans="1:11" ht="10.199999999999999">
      <c r="A21" s="843">
        <f>A19+1</f>
        <v>7</v>
      </c>
      <c r="B21" s="802"/>
      <c r="C21" s="802" t="s">
        <v>1909</v>
      </c>
      <c r="D21" s="802"/>
      <c r="E21" s="845">
        <v>1038</v>
      </c>
      <c r="F21" s="815"/>
      <c r="G21" s="845">
        <v>-270</v>
      </c>
      <c r="H21" s="845"/>
      <c r="I21" s="845">
        <v>-270</v>
      </c>
      <c r="J21" s="816"/>
      <c r="K21" s="843">
        <f t="shared" si="1"/>
        <v>7</v>
      </c>
    </row>
    <row r="22" spans="1:11" ht="10.199999999999999">
      <c r="A22" s="843">
        <f>A21+1</f>
        <v>8</v>
      </c>
      <c r="B22" s="802"/>
      <c r="C22" s="802" t="s">
        <v>1320</v>
      </c>
      <c r="D22" s="802"/>
      <c r="E22" s="845">
        <v>-284</v>
      </c>
      <c r="F22" s="815"/>
      <c r="G22" s="845">
        <v>0</v>
      </c>
      <c r="H22" s="845"/>
      <c r="I22" s="845">
        <v>0</v>
      </c>
      <c r="J22" s="816"/>
      <c r="K22" s="843">
        <f t="shared" si="1"/>
        <v>8</v>
      </c>
    </row>
    <row r="23" spans="1:11" ht="10.199999999999999">
      <c r="A23" s="843">
        <f t="shared" ref="A23:A28" si="2">A22+1</f>
        <v>9</v>
      </c>
      <c r="B23" s="802"/>
      <c r="C23" s="802" t="s">
        <v>428</v>
      </c>
      <c r="D23" s="802"/>
      <c r="E23" s="845">
        <v>-130</v>
      </c>
      <c r="F23" s="815"/>
      <c r="G23" s="845">
        <v>0</v>
      </c>
      <c r="H23" s="845"/>
      <c r="I23" s="845">
        <v>0</v>
      </c>
      <c r="J23" s="816"/>
      <c r="K23" s="843">
        <f t="shared" si="1"/>
        <v>9</v>
      </c>
    </row>
    <row r="24" spans="1:11" ht="10.199999999999999">
      <c r="A24" s="843">
        <f t="shared" si="2"/>
        <v>10</v>
      </c>
      <c r="B24" s="802"/>
      <c r="C24" s="802" t="s">
        <v>1321</v>
      </c>
      <c r="D24" s="802"/>
      <c r="E24" s="845">
        <v>1405</v>
      </c>
      <c r="F24" s="815"/>
      <c r="G24" s="845">
        <v>-3888</v>
      </c>
      <c r="H24" s="845"/>
      <c r="I24" s="845">
        <v>-3888</v>
      </c>
      <c r="J24" s="816"/>
      <c r="K24" s="843">
        <f t="shared" si="1"/>
        <v>10</v>
      </c>
    </row>
    <row r="25" spans="1:11" ht="10.199999999999999">
      <c r="A25" s="843">
        <f t="shared" si="2"/>
        <v>11</v>
      </c>
      <c r="B25" s="802"/>
      <c r="C25" s="802" t="s">
        <v>1910</v>
      </c>
      <c r="D25" s="802"/>
      <c r="E25" s="845">
        <v>0</v>
      </c>
      <c r="F25" s="815"/>
      <c r="G25" s="845">
        <v>0</v>
      </c>
      <c r="H25" s="845"/>
      <c r="I25" s="845">
        <v>0</v>
      </c>
      <c r="J25" s="816"/>
      <c r="K25" s="843">
        <f t="shared" si="1"/>
        <v>11</v>
      </c>
    </row>
    <row r="26" spans="1:11" ht="10.199999999999999">
      <c r="A26" s="843">
        <f t="shared" si="2"/>
        <v>12</v>
      </c>
      <c r="B26" s="802"/>
      <c r="C26" s="802" t="s">
        <v>427</v>
      </c>
      <c r="D26" s="802"/>
      <c r="E26" s="845">
        <v>2719</v>
      </c>
      <c r="F26" s="815"/>
      <c r="G26" s="845">
        <v>1390</v>
      </c>
      <c r="H26" s="845"/>
      <c r="I26" s="845">
        <v>1390</v>
      </c>
      <c r="J26" s="816"/>
      <c r="K26" s="843">
        <f t="shared" si="1"/>
        <v>12</v>
      </c>
    </row>
    <row r="27" spans="1:11" ht="10.199999999999999">
      <c r="A27" s="843">
        <f t="shared" si="2"/>
        <v>13</v>
      </c>
      <c r="B27" s="802"/>
      <c r="C27" s="802" t="s">
        <v>634</v>
      </c>
      <c r="D27" s="802"/>
      <c r="E27" s="845">
        <v>-189</v>
      </c>
      <c r="F27" s="815"/>
      <c r="G27" s="845">
        <v>-862</v>
      </c>
      <c r="H27" s="845"/>
      <c r="I27" s="845">
        <v>-862</v>
      </c>
      <c r="J27" s="816"/>
      <c r="K27" s="843">
        <f t="shared" si="1"/>
        <v>13</v>
      </c>
    </row>
    <row r="28" spans="1:11" ht="10.199999999999999">
      <c r="A28" s="843">
        <f t="shared" si="2"/>
        <v>14</v>
      </c>
      <c r="B28" s="802" t="s">
        <v>181</v>
      </c>
      <c r="C28" s="807" t="s">
        <v>959</v>
      </c>
      <c r="D28" s="802"/>
      <c r="E28" s="820">
        <v>25906</v>
      </c>
      <c r="F28" s="802"/>
      <c r="G28" s="820">
        <v>19275</v>
      </c>
      <c r="H28" s="802"/>
      <c r="I28" s="820">
        <v>33021</v>
      </c>
      <c r="J28" s="816"/>
      <c r="K28" s="843">
        <f t="shared" si="1"/>
        <v>14</v>
      </c>
    </row>
    <row r="29" spans="1:11" ht="10.199999999999999">
      <c r="A29" s="843"/>
      <c r="B29" s="802"/>
      <c r="C29" s="819"/>
      <c r="D29" s="802"/>
      <c r="E29" s="845"/>
      <c r="F29" s="816"/>
      <c r="G29" s="845"/>
      <c r="H29" s="816"/>
      <c r="I29" s="845"/>
      <c r="J29" s="816"/>
      <c r="K29" s="843"/>
    </row>
    <row r="30" spans="1:11" ht="10.199999999999999">
      <c r="A30" s="843" t="s">
        <v>988</v>
      </c>
      <c r="B30" s="802" t="s">
        <v>181</v>
      </c>
      <c r="C30" s="846" t="s">
        <v>1398</v>
      </c>
      <c r="D30" s="802"/>
      <c r="E30" s="802"/>
      <c r="F30" s="802"/>
      <c r="G30" s="802"/>
      <c r="H30" s="802"/>
      <c r="I30" s="802"/>
      <c r="J30" s="802"/>
      <c r="K30" s="843" t="s">
        <v>988</v>
      </c>
    </row>
    <row r="31" spans="1:11" ht="10.199999999999999">
      <c r="A31" s="843">
        <f>+A28+1</f>
        <v>15</v>
      </c>
      <c r="B31" s="802"/>
      <c r="C31" s="845" t="s">
        <v>1911</v>
      </c>
      <c r="D31" s="802"/>
      <c r="E31" s="845"/>
      <c r="F31" s="815"/>
      <c r="G31" s="845"/>
      <c r="H31" s="845"/>
      <c r="I31" s="845"/>
      <c r="J31" s="816"/>
      <c r="K31" s="843">
        <f>+A31</f>
        <v>15</v>
      </c>
    </row>
    <row r="32" spans="1:11" ht="10.199999999999999">
      <c r="A32" s="843">
        <f>A31+1</f>
        <v>16</v>
      </c>
      <c r="B32" s="802"/>
      <c r="C32" s="802" t="s">
        <v>1912</v>
      </c>
      <c r="D32" s="802"/>
      <c r="E32" s="845">
        <v>-37033</v>
      </c>
      <c r="F32" s="815"/>
      <c r="G32" s="845">
        <v>-36049</v>
      </c>
      <c r="H32" s="845"/>
      <c r="I32" s="845">
        <v>-36049</v>
      </c>
      <c r="J32" s="816"/>
      <c r="K32" s="843">
        <f>+A32</f>
        <v>16</v>
      </c>
    </row>
    <row r="33" spans="1:11" ht="10.199999999999999">
      <c r="A33" s="843">
        <f t="shared" ref="A33:A35" si="3">A32+1</f>
        <v>17</v>
      </c>
      <c r="B33" s="802"/>
      <c r="C33" s="802" t="s">
        <v>1325</v>
      </c>
      <c r="D33" s="802"/>
      <c r="E33" s="845">
        <v>2439</v>
      </c>
      <c r="F33" s="815"/>
      <c r="G33" s="845">
        <v>1152</v>
      </c>
      <c r="H33" s="845"/>
      <c r="I33" s="845">
        <v>1152</v>
      </c>
      <c r="J33" s="816"/>
      <c r="K33" s="843">
        <f>+A33</f>
        <v>17</v>
      </c>
    </row>
    <row r="34" spans="1:11" ht="10.199999999999999">
      <c r="A34" s="843">
        <f t="shared" si="3"/>
        <v>18</v>
      </c>
      <c r="B34" s="802"/>
      <c r="C34" s="802" t="s">
        <v>1913</v>
      </c>
      <c r="D34" s="802"/>
      <c r="E34" s="845">
        <v>0</v>
      </c>
      <c r="F34" s="815"/>
      <c r="G34" s="845">
        <v>0</v>
      </c>
      <c r="H34" s="845"/>
      <c r="I34" s="845">
        <v>0</v>
      </c>
      <c r="J34" s="816"/>
      <c r="K34" s="843">
        <f>+A34</f>
        <v>18</v>
      </c>
    </row>
    <row r="35" spans="1:11" ht="10.199999999999999">
      <c r="A35" s="843">
        <f t="shared" si="3"/>
        <v>19</v>
      </c>
      <c r="B35" s="802" t="s">
        <v>181</v>
      </c>
      <c r="C35" s="807" t="s">
        <v>1399</v>
      </c>
      <c r="D35" s="802"/>
      <c r="E35" s="820">
        <v>-34594</v>
      </c>
      <c r="F35" s="802"/>
      <c r="G35" s="820">
        <v>-34897</v>
      </c>
      <c r="H35" s="802"/>
      <c r="I35" s="820">
        <v>-34897</v>
      </c>
      <c r="J35" s="802"/>
      <c r="K35" s="843">
        <f>+A35</f>
        <v>19</v>
      </c>
    </row>
    <row r="36" spans="1:11" ht="10.199999999999999">
      <c r="A36" s="843"/>
      <c r="B36" s="802"/>
      <c r="C36" s="807"/>
      <c r="D36" s="802"/>
      <c r="E36" s="802"/>
      <c r="F36" s="802"/>
      <c r="G36" s="802"/>
      <c r="H36" s="802"/>
      <c r="I36" s="802"/>
      <c r="J36" s="802"/>
      <c r="K36" s="843"/>
    </row>
    <row r="37" spans="1:11" ht="10.199999999999999">
      <c r="A37" s="843"/>
      <c r="B37" s="802"/>
      <c r="C37" s="846" t="s">
        <v>1400</v>
      </c>
      <c r="D37" s="802"/>
      <c r="E37" s="802"/>
      <c r="F37" s="802"/>
      <c r="G37" s="802"/>
      <c r="H37" s="802"/>
      <c r="I37" s="802"/>
      <c r="J37" s="802"/>
      <c r="K37" s="843"/>
    </row>
    <row r="38" spans="1:11" ht="10.199999999999999">
      <c r="A38" s="843">
        <f>A35+1</f>
        <v>20</v>
      </c>
      <c r="B38" s="802"/>
      <c r="C38" s="802" t="s">
        <v>1868</v>
      </c>
      <c r="D38" s="802"/>
      <c r="E38" s="845">
        <v>-11000</v>
      </c>
      <c r="F38" s="815"/>
      <c r="G38" s="845">
        <v>11665.048698602521</v>
      </c>
      <c r="H38" s="845"/>
      <c r="I38" s="845">
        <v>0</v>
      </c>
      <c r="J38" s="802"/>
      <c r="K38" s="843">
        <f t="shared" ref="K38:K43" si="4">+A38</f>
        <v>20</v>
      </c>
    </row>
    <row r="39" spans="1:11" ht="10.199999999999999">
      <c r="A39" s="843">
        <f>A38+1</f>
        <v>21</v>
      </c>
      <c r="B39" s="802"/>
      <c r="C39" s="802" t="s">
        <v>1327</v>
      </c>
      <c r="D39" s="802"/>
      <c r="E39" s="845">
        <v>30000</v>
      </c>
      <c r="F39" s="815"/>
      <c r="G39" s="845">
        <v>0</v>
      </c>
      <c r="H39" s="845"/>
      <c r="I39" s="845">
        <v>0</v>
      </c>
      <c r="J39" s="802"/>
      <c r="K39" s="843">
        <f t="shared" si="4"/>
        <v>21</v>
      </c>
    </row>
    <row r="40" spans="1:11" ht="10.199999999999999">
      <c r="A40" s="843">
        <f>A39+1</f>
        <v>22</v>
      </c>
      <c r="B40" s="802"/>
      <c r="C40" s="802" t="s">
        <v>1869</v>
      </c>
      <c r="D40" s="802"/>
      <c r="E40" s="845">
        <v>0</v>
      </c>
      <c r="F40" s="815"/>
      <c r="G40" s="845">
        <v>0</v>
      </c>
      <c r="H40" s="845"/>
      <c r="I40" s="845">
        <v>0</v>
      </c>
      <c r="J40" s="802"/>
      <c r="K40" s="843">
        <f t="shared" si="4"/>
        <v>22</v>
      </c>
    </row>
    <row r="41" spans="1:11" ht="10.199999999999999">
      <c r="A41" s="843">
        <f>A40+1</f>
        <v>23</v>
      </c>
      <c r="B41" s="802"/>
      <c r="C41" s="802" t="s">
        <v>1870</v>
      </c>
      <c r="D41" s="802"/>
      <c r="E41" s="845">
        <v>0</v>
      </c>
      <c r="F41" s="815"/>
      <c r="G41" s="845">
        <v>0</v>
      </c>
      <c r="H41" s="845"/>
      <c r="I41" s="845">
        <v>0</v>
      </c>
      <c r="J41" s="802"/>
      <c r="K41" s="843">
        <f t="shared" si="4"/>
        <v>23</v>
      </c>
    </row>
    <row r="42" spans="1:11" ht="10.199999999999999">
      <c r="A42" s="843">
        <f>+A41+1</f>
        <v>24</v>
      </c>
      <c r="B42" s="802"/>
      <c r="C42" s="802" t="s">
        <v>634</v>
      </c>
      <c r="D42" s="802"/>
      <c r="E42" s="845">
        <v>106</v>
      </c>
      <c r="F42" s="815"/>
      <c r="G42" s="845">
        <v>0</v>
      </c>
      <c r="H42" s="845"/>
      <c r="I42" s="845">
        <v>0</v>
      </c>
      <c r="J42" s="802"/>
      <c r="K42" s="843">
        <f t="shared" si="4"/>
        <v>24</v>
      </c>
    </row>
    <row r="43" spans="1:11" ht="10.199999999999999">
      <c r="A43" s="843">
        <f>A42+1</f>
        <v>25</v>
      </c>
      <c r="B43" s="802" t="s">
        <v>181</v>
      </c>
      <c r="C43" s="807" t="s">
        <v>961</v>
      </c>
      <c r="D43" s="802"/>
      <c r="E43" s="820">
        <v>19106</v>
      </c>
      <c r="F43" s="802"/>
      <c r="G43" s="820">
        <v>11665.048698602521</v>
      </c>
      <c r="H43" s="802"/>
      <c r="I43" s="820">
        <v>0</v>
      </c>
      <c r="J43" s="802"/>
      <c r="K43" s="843">
        <f t="shared" si="4"/>
        <v>25</v>
      </c>
    </row>
    <row r="44" spans="1:11" ht="10.199999999999999">
      <c r="A44" s="843"/>
      <c r="B44" s="802" t="s">
        <v>181</v>
      </c>
      <c r="C44" s="802"/>
      <c r="D44" s="802"/>
      <c r="E44" s="802"/>
      <c r="F44" s="802"/>
      <c r="G44" s="802"/>
      <c r="H44" s="802"/>
      <c r="I44" s="802"/>
      <c r="J44" s="802"/>
      <c r="K44" s="843"/>
    </row>
    <row r="45" spans="1:11" ht="10.8" thickBot="1">
      <c r="A45" s="843">
        <f>+A43+1</f>
        <v>26</v>
      </c>
      <c r="B45" s="802" t="s">
        <v>181</v>
      </c>
      <c r="C45" s="807" t="s">
        <v>962</v>
      </c>
      <c r="D45" s="802"/>
      <c r="E45" s="847">
        <v>10418</v>
      </c>
      <c r="F45" s="802"/>
      <c r="G45" s="847">
        <v>-3956.9513013974793</v>
      </c>
      <c r="H45" s="802"/>
      <c r="I45" s="847">
        <v>-1876</v>
      </c>
      <c r="J45" s="802"/>
      <c r="K45" s="843">
        <f>+A45</f>
        <v>26</v>
      </c>
    </row>
    <row r="46" spans="1:11" ht="10.8" thickTop="1">
      <c r="A46" s="800"/>
      <c r="B46" s="801"/>
      <c r="C46" s="801"/>
      <c r="D46" s="802"/>
      <c r="E46" s="836"/>
      <c r="F46" s="836"/>
      <c r="G46" s="802"/>
      <c r="H46" s="836"/>
      <c r="I46" s="802"/>
      <c r="J46" s="836"/>
      <c r="K46" s="800"/>
    </row>
    <row r="47" spans="1:11" ht="10.199999999999999">
      <c r="A47" s="800"/>
      <c r="B47" s="801"/>
      <c r="C47" s="801"/>
      <c r="D47" s="802"/>
      <c r="E47" s="836"/>
      <c r="F47" s="836"/>
      <c r="G47" s="802"/>
      <c r="H47" s="836"/>
      <c r="I47" s="802"/>
      <c r="J47" s="836"/>
      <c r="K47" s="800"/>
    </row>
    <row r="48" spans="1:11" ht="10.199999999999999">
      <c r="A48" s="800"/>
      <c r="B48" s="801"/>
      <c r="C48" s="801"/>
      <c r="D48" s="802"/>
      <c r="E48" s="836"/>
      <c r="F48" s="836"/>
      <c r="G48" s="802"/>
      <c r="H48" s="836"/>
      <c r="I48" s="802"/>
      <c r="J48" s="836"/>
      <c r="K48" s="800"/>
    </row>
    <row r="49" spans="1:11" s="851" customFormat="1" ht="10.199999999999999">
      <c r="A49" s="828"/>
      <c r="B49" s="828"/>
      <c r="C49" s="827" t="s">
        <v>1401</v>
      </c>
      <c r="D49" s="832"/>
      <c r="E49" s="848" t="s">
        <v>990</v>
      </c>
      <c r="F49" s="849"/>
      <c r="G49" s="850"/>
      <c r="H49" s="850"/>
      <c r="I49" s="850"/>
      <c r="J49" s="850"/>
      <c r="K49" s="833"/>
    </row>
    <row r="50" spans="1:11" ht="10.199999999999999">
      <c r="A50" s="802" t="s">
        <v>181</v>
      </c>
      <c r="B50" s="802"/>
      <c r="C50" s="809" t="s">
        <v>963</v>
      </c>
      <c r="D50" s="801"/>
      <c r="E50" s="852" t="s">
        <v>1336</v>
      </c>
      <c r="F50" s="853"/>
      <c r="G50" s="854"/>
      <c r="H50" s="854"/>
      <c r="I50" s="854"/>
      <c r="J50" s="854"/>
      <c r="K50" s="800"/>
    </row>
    <row r="51" spans="1:11" ht="10.199999999999999">
      <c r="A51" s="801"/>
      <c r="B51" s="801"/>
      <c r="C51" s="801"/>
      <c r="D51" s="802"/>
      <c r="E51" s="836"/>
      <c r="F51" s="836"/>
      <c r="G51" s="836"/>
      <c r="H51" s="836"/>
      <c r="I51" s="836"/>
      <c r="J51" s="836"/>
      <c r="K51" s="800"/>
    </row>
    <row r="52" spans="1:11" ht="10.199999999999999">
      <c r="A52" s="801"/>
      <c r="B52" s="801"/>
      <c r="C52" s="835" t="s">
        <v>1402</v>
      </c>
      <c r="D52" s="802"/>
      <c r="E52" s="836"/>
      <c r="F52" s="836"/>
      <c r="G52" s="836"/>
      <c r="H52" s="836"/>
      <c r="I52" s="836"/>
      <c r="J52" s="836"/>
      <c r="K52" s="800"/>
    </row>
    <row r="53" spans="1:11" ht="10.199999999999999">
      <c r="A53" s="801"/>
      <c r="B53" s="801"/>
      <c r="C53" s="805" t="s">
        <v>962</v>
      </c>
      <c r="D53" s="802"/>
      <c r="E53" s="821"/>
      <c r="F53" s="836"/>
      <c r="G53" s="821">
        <v>-3956.4723187906402</v>
      </c>
      <c r="H53" s="821"/>
      <c r="I53" s="821">
        <v>-1874.7972576840475</v>
      </c>
      <c r="J53" s="836"/>
      <c r="K53" s="800"/>
    </row>
    <row r="54" spans="1:11" ht="10.199999999999999">
      <c r="A54" s="801"/>
      <c r="B54" s="801"/>
      <c r="C54" s="805" t="s">
        <v>3</v>
      </c>
      <c r="D54" s="802"/>
      <c r="E54" s="802"/>
      <c r="F54" s="802"/>
      <c r="G54" s="802">
        <f>+G45-G53</f>
        <v>-0.47898260683905391</v>
      </c>
      <c r="H54" s="855"/>
      <c r="I54" s="802">
        <f>+I45-I53</f>
        <v>-1.2027423159524915</v>
      </c>
      <c r="J54" s="836"/>
      <c r="K54" s="800"/>
    </row>
  </sheetData>
  <mergeCells count="5">
    <mergeCell ref="G8:I9"/>
    <mergeCell ref="A3:K3"/>
    <mergeCell ref="A4:K4"/>
    <mergeCell ref="A5:K5"/>
    <mergeCell ref="A6:K6"/>
  </mergeCells>
  <printOptions horizontalCentered="1"/>
  <pageMargins left="0.7" right="0.7" top="0.75" bottom="0.75" header="0.3" footer="0.3"/>
  <pageSetup scale="90" orientation="landscape" r:id="rId1"/>
  <headerFooter alignWithMargins="0"/>
  <rowBreaks count="1" manualBreakCount="1">
    <brk id="117" max="65535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29ADB-6B33-4837-BB9E-79FD4AA9E1B6}">
  <sheetPr syncVertical="1" syncRef="A1" transitionEvaluation="1" transitionEntry="1">
    <tabColor rgb="FFFFFFCC"/>
    <pageSetUpPr fitToPage="1"/>
  </sheetPr>
  <dimension ref="A1:P41"/>
  <sheetViews>
    <sheetView showGridLines="0" zoomScaleNormal="100" zoomScaleSheetLayoutView="100" workbookViewId="0"/>
  </sheetViews>
  <sheetFormatPr defaultColWidth="7.109375" defaultRowHeight="8.4"/>
  <cols>
    <col min="1" max="1" width="4.33203125" style="797" customWidth="1"/>
    <col min="2" max="2" width="2.88671875" style="797" customWidth="1"/>
    <col min="3" max="3" width="22.33203125" style="797" customWidth="1"/>
    <col min="4" max="4" width="4.33203125" style="797" customWidth="1"/>
    <col min="5" max="5" width="11.44140625" style="797" customWidth="1"/>
    <col min="6" max="7" width="2.88671875" style="797" customWidth="1"/>
    <col min="8" max="8" width="10" style="797" customWidth="1"/>
    <col min="9" max="9" width="2.88671875" style="797" customWidth="1"/>
    <col min="10" max="10" width="11.44140625" style="797" customWidth="1"/>
    <col min="11" max="11" width="2.88671875" style="797" customWidth="1"/>
    <col min="12" max="12" width="11.44140625" style="797" customWidth="1"/>
    <col min="13" max="13" width="2.88671875" style="797" customWidth="1"/>
    <col min="14" max="14" width="11.44140625" style="797" customWidth="1"/>
    <col min="15" max="15" width="2.88671875" style="797" customWidth="1"/>
    <col min="16" max="16" width="4.33203125" style="837" customWidth="1"/>
    <col min="17" max="17" width="2.88671875" style="797" customWidth="1"/>
    <col min="18" max="19" width="7.109375" style="797" customWidth="1"/>
    <col min="20" max="257" width="7.109375" style="797"/>
    <col min="258" max="258" width="4.33203125" style="797" customWidth="1"/>
    <col min="259" max="259" width="2.88671875" style="797" customWidth="1"/>
    <col min="260" max="260" width="22.33203125" style="797" customWidth="1"/>
    <col min="261" max="261" width="4.33203125" style="797" customWidth="1"/>
    <col min="262" max="262" width="11.44140625" style="797" customWidth="1"/>
    <col min="263" max="263" width="2.88671875" style="797" customWidth="1"/>
    <col min="264" max="264" width="11.44140625" style="797" customWidth="1"/>
    <col min="265" max="265" width="2.88671875" style="797" customWidth="1"/>
    <col min="266" max="266" width="11.44140625" style="797" customWidth="1"/>
    <col min="267" max="267" width="2.88671875" style="797" customWidth="1"/>
    <col min="268" max="268" width="11.44140625" style="797" customWidth="1"/>
    <col min="269" max="269" width="2.88671875" style="797" customWidth="1"/>
    <col min="270" max="270" width="11.44140625" style="797" customWidth="1"/>
    <col min="271" max="271" width="2.88671875" style="797" customWidth="1"/>
    <col min="272" max="272" width="4.33203125" style="797" customWidth="1"/>
    <col min="273" max="273" width="2.88671875" style="797" customWidth="1"/>
    <col min="274" max="274" width="11.44140625" style="797" customWidth="1"/>
    <col min="275" max="275" width="11.88671875" style="797" customWidth="1"/>
    <col min="276" max="513" width="7.109375" style="797"/>
    <col min="514" max="514" width="4.33203125" style="797" customWidth="1"/>
    <col min="515" max="515" width="2.88671875" style="797" customWidth="1"/>
    <col min="516" max="516" width="22.33203125" style="797" customWidth="1"/>
    <col min="517" max="517" width="4.33203125" style="797" customWidth="1"/>
    <col min="518" max="518" width="11.44140625" style="797" customWidth="1"/>
    <col min="519" max="519" width="2.88671875" style="797" customWidth="1"/>
    <col min="520" max="520" width="11.44140625" style="797" customWidth="1"/>
    <col min="521" max="521" width="2.88671875" style="797" customWidth="1"/>
    <col min="522" max="522" width="11.44140625" style="797" customWidth="1"/>
    <col min="523" max="523" width="2.88671875" style="797" customWidth="1"/>
    <col min="524" max="524" width="11.44140625" style="797" customWidth="1"/>
    <col min="525" max="525" width="2.88671875" style="797" customWidth="1"/>
    <col min="526" max="526" width="11.44140625" style="797" customWidth="1"/>
    <col min="527" max="527" width="2.88671875" style="797" customWidth="1"/>
    <col min="528" max="528" width="4.33203125" style="797" customWidth="1"/>
    <col min="529" max="529" width="2.88671875" style="797" customWidth="1"/>
    <col min="530" max="530" width="11.44140625" style="797" customWidth="1"/>
    <col min="531" max="531" width="11.88671875" style="797" customWidth="1"/>
    <col min="532" max="769" width="7.109375" style="797"/>
    <col min="770" max="770" width="4.33203125" style="797" customWidth="1"/>
    <col min="771" max="771" width="2.88671875" style="797" customWidth="1"/>
    <col min="772" max="772" width="22.33203125" style="797" customWidth="1"/>
    <col min="773" max="773" width="4.33203125" style="797" customWidth="1"/>
    <col min="774" max="774" width="11.44140625" style="797" customWidth="1"/>
    <col min="775" max="775" width="2.88671875" style="797" customWidth="1"/>
    <col min="776" max="776" width="11.44140625" style="797" customWidth="1"/>
    <col min="777" max="777" width="2.88671875" style="797" customWidth="1"/>
    <col min="778" max="778" width="11.44140625" style="797" customWidth="1"/>
    <col min="779" max="779" width="2.88671875" style="797" customWidth="1"/>
    <col min="780" max="780" width="11.44140625" style="797" customWidth="1"/>
    <col min="781" max="781" width="2.88671875" style="797" customWidth="1"/>
    <col min="782" max="782" width="11.44140625" style="797" customWidth="1"/>
    <col min="783" max="783" width="2.88671875" style="797" customWidth="1"/>
    <col min="784" max="784" width="4.33203125" style="797" customWidth="1"/>
    <col min="785" max="785" width="2.88671875" style="797" customWidth="1"/>
    <col min="786" max="786" width="11.44140625" style="797" customWidth="1"/>
    <col min="787" max="787" width="11.88671875" style="797" customWidth="1"/>
    <col min="788" max="1025" width="7.109375" style="797"/>
    <col min="1026" max="1026" width="4.33203125" style="797" customWidth="1"/>
    <col min="1027" max="1027" width="2.88671875" style="797" customWidth="1"/>
    <col min="1028" max="1028" width="22.33203125" style="797" customWidth="1"/>
    <col min="1029" max="1029" width="4.33203125" style="797" customWidth="1"/>
    <col min="1030" max="1030" width="11.44140625" style="797" customWidth="1"/>
    <col min="1031" max="1031" width="2.88671875" style="797" customWidth="1"/>
    <col min="1032" max="1032" width="11.44140625" style="797" customWidth="1"/>
    <col min="1033" max="1033" width="2.88671875" style="797" customWidth="1"/>
    <col min="1034" max="1034" width="11.44140625" style="797" customWidth="1"/>
    <col min="1035" max="1035" width="2.88671875" style="797" customWidth="1"/>
    <col min="1036" max="1036" width="11.44140625" style="797" customWidth="1"/>
    <col min="1037" max="1037" width="2.88671875" style="797" customWidth="1"/>
    <col min="1038" max="1038" width="11.44140625" style="797" customWidth="1"/>
    <col min="1039" max="1039" width="2.88671875" style="797" customWidth="1"/>
    <col min="1040" max="1040" width="4.33203125" style="797" customWidth="1"/>
    <col min="1041" max="1041" width="2.88671875" style="797" customWidth="1"/>
    <col min="1042" max="1042" width="11.44140625" style="797" customWidth="1"/>
    <col min="1043" max="1043" width="11.88671875" style="797" customWidth="1"/>
    <col min="1044" max="1281" width="7.109375" style="797"/>
    <col min="1282" max="1282" width="4.33203125" style="797" customWidth="1"/>
    <col min="1283" max="1283" width="2.88671875" style="797" customWidth="1"/>
    <col min="1284" max="1284" width="22.33203125" style="797" customWidth="1"/>
    <col min="1285" max="1285" width="4.33203125" style="797" customWidth="1"/>
    <col min="1286" max="1286" width="11.44140625" style="797" customWidth="1"/>
    <col min="1287" max="1287" width="2.88671875" style="797" customWidth="1"/>
    <col min="1288" max="1288" width="11.44140625" style="797" customWidth="1"/>
    <col min="1289" max="1289" width="2.88671875" style="797" customWidth="1"/>
    <col min="1290" max="1290" width="11.44140625" style="797" customWidth="1"/>
    <col min="1291" max="1291" width="2.88671875" style="797" customWidth="1"/>
    <col min="1292" max="1292" width="11.44140625" style="797" customWidth="1"/>
    <col min="1293" max="1293" width="2.88671875" style="797" customWidth="1"/>
    <col min="1294" max="1294" width="11.44140625" style="797" customWidth="1"/>
    <col min="1295" max="1295" width="2.88671875" style="797" customWidth="1"/>
    <col min="1296" max="1296" width="4.33203125" style="797" customWidth="1"/>
    <col min="1297" max="1297" width="2.88671875" style="797" customWidth="1"/>
    <col min="1298" max="1298" width="11.44140625" style="797" customWidth="1"/>
    <col min="1299" max="1299" width="11.88671875" style="797" customWidth="1"/>
    <col min="1300" max="1537" width="7.109375" style="797"/>
    <col min="1538" max="1538" width="4.33203125" style="797" customWidth="1"/>
    <col min="1539" max="1539" width="2.88671875" style="797" customWidth="1"/>
    <col min="1540" max="1540" width="22.33203125" style="797" customWidth="1"/>
    <col min="1541" max="1541" width="4.33203125" style="797" customWidth="1"/>
    <col min="1542" max="1542" width="11.44140625" style="797" customWidth="1"/>
    <col min="1543" max="1543" width="2.88671875" style="797" customWidth="1"/>
    <col min="1544" max="1544" width="11.44140625" style="797" customWidth="1"/>
    <col min="1545" max="1545" width="2.88671875" style="797" customWidth="1"/>
    <col min="1546" max="1546" width="11.44140625" style="797" customWidth="1"/>
    <col min="1547" max="1547" width="2.88671875" style="797" customWidth="1"/>
    <col min="1548" max="1548" width="11.44140625" style="797" customWidth="1"/>
    <col min="1549" max="1549" width="2.88671875" style="797" customWidth="1"/>
    <col min="1550" max="1550" width="11.44140625" style="797" customWidth="1"/>
    <col min="1551" max="1551" width="2.88671875" style="797" customWidth="1"/>
    <col min="1552" max="1552" width="4.33203125" style="797" customWidth="1"/>
    <col min="1553" max="1553" width="2.88671875" style="797" customWidth="1"/>
    <col min="1554" max="1554" width="11.44140625" style="797" customWidth="1"/>
    <col min="1555" max="1555" width="11.88671875" style="797" customWidth="1"/>
    <col min="1556" max="1793" width="7.109375" style="797"/>
    <col min="1794" max="1794" width="4.33203125" style="797" customWidth="1"/>
    <col min="1795" max="1795" width="2.88671875" style="797" customWidth="1"/>
    <col min="1796" max="1796" width="22.33203125" style="797" customWidth="1"/>
    <col min="1797" max="1797" width="4.33203125" style="797" customWidth="1"/>
    <col min="1798" max="1798" width="11.44140625" style="797" customWidth="1"/>
    <col min="1799" max="1799" width="2.88671875" style="797" customWidth="1"/>
    <col min="1800" max="1800" width="11.44140625" style="797" customWidth="1"/>
    <col min="1801" max="1801" width="2.88671875" style="797" customWidth="1"/>
    <col min="1802" max="1802" width="11.44140625" style="797" customWidth="1"/>
    <col min="1803" max="1803" width="2.88671875" style="797" customWidth="1"/>
    <col min="1804" max="1804" width="11.44140625" style="797" customWidth="1"/>
    <col min="1805" max="1805" width="2.88671875" style="797" customWidth="1"/>
    <col min="1806" max="1806" width="11.44140625" style="797" customWidth="1"/>
    <col min="1807" max="1807" width="2.88671875" style="797" customWidth="1"/>
    <col min="1808" max="1808" width="4.33203125" style="797" customWidth="1"/>
    <col min="1809" max="1809" width="2.88671875" style="797" customWidth="1"/>
    <col min="1810" max="1810" width="11.44140625" style="797" customWidth="1"/>
    <col min="1811" max="1811" width="11.88671875" style="797" customWidth="1"/>
    <col min="1812" max="2049" width="7.109375" style="797"/>
    <col min="2050" max="2050" width="4.33203125" style="797" customWidth="1"/>
    <col min="2051" max="2051" width="2.88671875" style="797" customWidth="1"/>
    <col min="2052" max="2052" width="22.33203125" style="797" customWidth="1"/>
    <col min="2053" max="2053" width="4.33203125" style="797" customWidth="1"/>
    <col min="2054" max="2054" width="11.44140625" style="797" customWidth="1"/>
    <col min="2055" max="2055" width="2.88671875" style="797" customWidth="1"/>
    <col min="2056" max="2056" width="11.44140625" style="797" customWidth="1"/>
    <col min="2057" max="2057" width="2.88671875" style="797" customWidth="1"/>
    <col min="2058" max="2058" width="11.44140625" style="797" customWidth="1"/>
    <col min="2059" max="2059" width="2.88671875" style="797" customWidth="1"/>
    <col min="2060" max="2060" width="11.44140625" style="797" customWidth="1"/>
    <col min="2061" max="2061" width="2.88671875" style="797" customWidth="1"/>
    <col min="2062" max="2062" width="11.44140625" style="797" customWidth="1"/>
    <col min="2063" max="2063" width="2.88671875" style="797" customWidth="1"/>
    <col min="2064" max="2064" width="4.33203125" style="797" customWidth="1"/>
    <col min="2065" max="2065" width="2.88671875" style="797" customWidth="1"/>
    <col min="2066" max="2066" width="11.44140625" style="797" customWidth="1"/>
    <col min="2067" max="2067" width="11.88671875" style="797" customWidth="1"/>
    <col min="2068" max="2305" width="7.109375" style="797"/>
    <col min="2306" max="2306" width="4.33203125" style="797" customWidth="1"/>
    <col min="2307" max="2307" width="2.88671875" style="797" customWidth="1"/>
    <col min="2308" max="2308" width="22.33203125" style="797" customWidth="1"/>
    <col min="2309" max="2309" width="4.33203125" style="797" customWidth="1"/>
    <col min="2310" max="2310" width="11.44140625" style="797" customWidth="1"/>
    <col min="2311" max="2311" width="2.88671875" style="797" customWidth="1"/>
    <col min="2312" max="2312" width="11.44140625" style="797" customWidth="1"/>
    <col min="2313" max="2313" width="2.88671875" style="797" customWidth="1"/>
    <col min="2314" max="2314" width="11.44140625" style="797" customWidth="1"/>
    <col min="2315" max="2315" width="2.88671875" style="797" customWidth="1"/>
    <col min="2316" max="2316" width="11.44140625" style="797" customWidth="1"/>
    <col min="2317" max="2317" width="2.88671875" style="797" customWidth="1"/>
    <col min="2318" max="2318" width="11.44140625" style="797" customWidth="1"/>
    <col min="2319" max="2319" width="2.88671875" style="797" customWidth="1"/>
    <col min="2320" max="2320" width="4.33203125" style="797" customWidth="1"/>
    <col min="2321" max="2321" width="2.88671875" style="797" customWidth="1"/>
    <col min="2322" max="2322" width="11.44140625" style="797" customWidth="1"/>
    <col min="2323" max="2323" width="11.88671875" style="797" customWidth="1"/>
    <col min="2324" max="2561" width="7.109375" style="797"/>
    <col min="2562" max="2562" width="4.33203125" style="797" customWidth="1"/>
    <col min="2563" max="2563" width="2.88671875" style="797" customWidth="1"/>
    <col min="2564" max="2564" width="22.33203125" style="797" customWidth="1"/>
    <col min="2565" max="2565" width="4.33203125" style="797" customWidth="1"/>
    <col min="2566" max="2566" width="11.44140625" style="797" customWidth="1"/>
    <col min="2567" max="2567" width="2.88671875" style="797" customWidth="1"/>
    <col min="2568" max="2568" width="11.44140625" style="797" customWidth="1"/>
    <col min="2569" max="2569" width="2.88671875" style="797" customWidth="1"/>
    <col min="2570" max="2570" width="11.44140625" style="797" customWidth="1"/>
    <col min="2571" max="2571" width="2.88671875" style="797" customWidth="1"/>
    <col min="2572" max="2572" width="11.44140625" style="797" customWidth="1"/>
    <col min="2573" max="2573" width="2.88671875" style="797" customWidth="1"/>
    <col min="2574" max="2574" width="11.44140625" style="797" customWidth="1"/>
    <col min="2575" max="2575" width="2.88671875" style="797" customWidth="1"/>
    <col min="2576" max="2576" width="4.33203125" style="797" customWidth="1"/>
    <col min="2577" max="2577" width="2.88671875" style="797" customWidth="1"/>
    <col min="2578" max="2578" width="11.44140625" style="797" customWidth="1"/>
    <col min="2579" max="2579" width="11.88671875" style="797" customWidth="1"/>
    <col min="2580" max="2817" width="7.109375" style="797"/>
    <col min="2818" max="2818" width="4.33203125" style="797" customWidth="1"/>
    <col min="2819" max="2819" width="2.88671875" style="797" customWidth="1"/>
    <col min="2820" max="2820" width="22.33203125" style="797" customWidth="1"/>
    <col min="2821" max="2821" width="4.33203125" style="797" customWidth="1"/>
    <col min="2822" max="2822" width="11.44140625" style="797" customWidth="1"/>
    <col min="2823" max="2823" width="2.88671875" style="797" customWidth="1"/>
    <col min="2824" max="2824" width="11.44140625" style="797" customWidth="1"/>
    <col min="2825" max="2825" width="2.88671875" style="797" customWidth="1"/>
    <col min="2826" max="2826" width="11.44140625" style="797" customWidth="1"/>
    <col min="2827" max="2827" width="2.88671875" style="797" customWidth="1"/>
    <col min="2828" max="2828" width="11.44140625" style="797" customWidth="1"/>
    <col min="2829" max="2829" width="2.88671875" style="797" customWidth="1"/>
    <col min="2830" max="2830" width="11.44140625" style="797" customWidth="1"/>
    <col min="2831" max="2831" width="2.88671875" style="797" customWidth="1"/>
    <col min="2832" max="2832" width="4.33203125" style="797" customWidth="1"/>
    <col min="2833" max="2833" width="2.88671875" style="797" customWidth="1"/>
    <col min="2834" max="2834" width="11.44140625" style="797" customWidth="1"/>
    <col min="2835" max="2835" width="11.88671875" style="797" customWidth="1"/>
    <col min="2836" max="3073" width="7.109375" style="797"/>
    <col min="3074" max="3074" width="4.33203125" style="797" customWidth="1"/>
    <col min="3075" max="3075" width="2.88671875" style="797" customWidth="1"/>
    <col min="3076" max="3076" width="22.33203125" style="797" customWidth="1"/>
    <col min="3077" max="3077" width="4.33203125" style="797" customWidth="1"/>
    <col min="3078" max="3078" width="11.44140625" style="797" customWidth="1"/>
    <col min="3079" max="3079" width="2.88671875" style="797" customWidth="1"/>
    <col min="3080" max="3080" width="11.44140625" style="797" customWidth="1"/>
    <col min="3081" max="3081" width="2.88671875" style="797" customWidth="1"/>
    <col min="3082" max="3082" width="11.44140625" style="797" customWidth="1"/>
    <col min="3083" max="3083" width="2.88671875" style="797" customWidth="1"/>
    <col min="3084" max="3084" width="11.44140625" style="797" customWidth="1"/>
    <col min="3085" max="3085" width="2.88671875" style="797" customWidth="1"/>
    <col min="3086" max="3086" width="11.44140625" style="797" customWidth="1"/>
    <col min="3087" max="3087" width="2.88671875" style="797" customWidth="1"/>
    <col min="3088" max="3088" width="4.33203125" style="797" customWidth="1"/>
    <col min="3089" max="3089" width="2.88671875" style="797" customWidth="1"/>
    <col min="3090" max="3090" width="11.44140625" style="797" customWidth="1"/>
    <col min="3091" max="3091" width="11.88671875" style="797" customWidth="1"/>
    <col min="3092" max="3329" width="7.109375" style="797"/>
    <col min="3330" max="3330" width="4.33203125" style="797" customWidth="1"/>
    <col min="3331" max="3331" width="2.88671875" style="797" customWidth="1"/>
    <col min="3332" max="3332" width="22.33203125" style="797" customWidth="1"/>
    <col min="3333" max="3333" width="4.33203125" style="797" customWidth="1"/>
    <col min="3334" max="3334" width="11.44140625" style="797" customWidth="1"/>
    <col min="3335" max="3335" width="2.88671875" style="797" customWidth="1"/>
    <col min="3336" max="3336" width="11.44140625" style="797" customWidth="1"/>
    <col min="3337" max="3337" width="2.88671875" style="797" customWidth="1"/>
    <col min="3338" max="3338" width="11.44140625" style="797" customWidth="1"/>
    <col min="3339" max="3339" width="2.88671875" style="797" customWidth="1"/>
    <col min="3340" max="3340" width="11.44140625" style="797" customWidth="1"/>
    <col min="3341" max="3341" width="2.88671875" style="797" customWidth="1"/>
    <col min="3342" max="3342" width="11.44140625" style="797" customWidth="1"/>
    <col min="3343" max="3343" width="2.88671875" style="797" customWidth="1"/>
    <col min="3344" max="3344" width="4.33203125" style="797" customWidth="1"/>
    <col min="3345" max="3345" width="2.88671875" style="797" customWidth="1"/>
    <col min="3346" max="3346" width="11.44140625" style="797" customWidth="1"/>
    <col min="3347" max="3347" width="11.88671875" style="797" customWidth="1"/>
    <col min="3348" max="3585" width="7.109375" style="797"/>
    <col min="3586" max="3586" width="4.33203125" style="797" customWidth="1"/>
    <col min="3587" max="3587" width="2.88671875" style="797" customWidth="1"/>
    <col min="3588" max="3588" width="22.33203125" style="797" customWidth="1"/>
    <col min="3589" max="3589" width="4.33203125" style="797" customWidth="1"/>
    <col min="3590" max="3590" width="11.44140625" style="797" customWidth="1"/>
    <col min="3591" max="3591" width="2.88671875" style="797" customWidth="1"/>
    <col min="3592" max="3592" width="11.44140625" style="797" customWidth="1"/>
    <col min="3593" max="3593" width="2.88671875" style="797" customWidth="1"/>
    <col min="3594" max="3594" width="11.44140625" style="797" customWidth="1"/>
    <col min="3595" max="3595" width="2.88671875" style="797" customWidth="1"/>
    <col min="3596" max="3596" width="11.44140625" style="797" customWidth="1"/>
    <col min="3597" max="3597" width="2.88671875" style="797" customWidth="1"/>
    <col min="3598" max="3598" width="11.44140625" style="797" customWidth="1"/>
    <col min="3599" max="3599" width="2.88671875" style="797" customWidth="1"/>
    <col min="3600" max="3600" width="4.33203125" style="797" customWidth="1"/>
    <col min="3601" max="3601" width="2.88671875" style="797" customWidth="1"/>
    <col min="3602" max="3602" width="11.44140625" style="797" customWidth="1"/>
    <col min="3603" max="3603" width="11.88671875" style="797" customWidth="1"/>
    <col min="3604" max="3841" width="7.109375" style="797"/>
    <col min="3842" max="3842" width="4.33203125" style="797" customWidth="1"/>
    <col min="3843" max="3843" width="2.88671875" style="797" customWidth="1"/>
    <col min="3844" max="3844" width="22.33203125" style="797" customWidth="1"/>
    <col min="3845" max="3845" width="4.33203125" style="797" customWidth="1"/>
    <col min="3846" max="3846" width="11.44140625" style="797" customWidth="1"/>
    <col min="3847" max="3847" width="2.88671875" style="797" customWidth="1"/>
    <col min="3848" max="3848" width="11.44140625" style="797" customWidth="1"/>
    <col min="3849" max="3849" width="2.88671875" style="797" customWidth="1"/>
    <col min="3850" max="3850" width="11.44140625" style="797" customWidth="1"/>
    <col min="3851" max="3851" width="2.88671875" style="797" customWidth="1"/>
    <col min="3852" max="3852" width="11.44140625" style="797" customWidth="1"/>
    <col min="3853" max="3853" width="2.88671875" style="797" customWidth="1"/>
    <col min="3854" max="3854" width="11.44140625" style="797" customWidth="1"/>
    <col min="3855" max="3855" width="2.88671875" style="797" customWidth="1"/>
    <col min="3856" max="3856" width="4.33203125" style="797" customWidth="1"/>
    <col min="3857" max="3857" width="2.88671875" style="797" customWidth="1"/>
    <col min="3858" max="3858" width="11.44140625" style="797" customWidth="1"/>
    <col min="3859" max="3859" width="11.88671875" style="797" customWidth="1"/>
    <col min="3860" max="4097" width="7.109375" style="797"/>
    <col min="4098" max="4098" width="4.33203125" style="797" customWidth="1"/>
    <col min="4099" max="4099" width="2.88671875" style="797" customWidth="1"/>
    <col min="4100" max="4100" width="22.33203125" style="797" customWidth="1"/>
    <col min="4101" max="4101" width="4.33203125" style="797" customWidth="1"/>
    <col min="4102" max="4102" width="11.44140625" style="797" customWidth="1"/>
    <col min="4103" max="4103" width="2.88671875" style="797" customWidth="1"/>
    <col min="4104" max="4104" width="11.44140625" style="797" customWidth="1"/>
    <col min="4105" max="4105" width="2.88671875" style="797" customWidth="1"/>
    <col min="4106" max="4106" width="11.44140625" style="797" customWidth="1"/>
    <col min="4107" max="4107" width="2.88671875" style="797" customWidth="1"/>
    <col min="4108" max="4108" width="11.44140625" style="797" customWidth="1"/>
    <col min="4109" max="4109" width="2.88671875" style="797" customWidth="1"/>
    <col min="4110" max="4110" width="11.44140625" style="797" customWidth="1"/>
    <col min="4111" max="4111" width="2.88671875" style="797" customWidth="1"/>
    <col min="4112" max="4112" width="4.33203125" style="797" customWidth="1"/>
    <col min="4113" max="4113" width="2.88671875" style="797" customWidth="1"/>
    <col min="4114" max="4114" width="11.44140625" style="797" customWidth="1"/>
    <col min="4115" max="4115" width="11.88671875" style="797" customWidth="1"/>
    <col min="4116" max="4353" width="7.109375" style="797"/>
    <col min="4354" max="4354" width="4.33203125" style="797" customWidth="1"/>
    <col min="4355" max="4355" width="2.88671875" style="797" customWidth="1"/>
    <col min="4356" max="4356" width="22.33203125" style="797" customWidth="1"/>
    <col min="4357" max="4357" width="4.33203125" style="797" customWidth="1"/>
    <col min="4358" max="4358" width="11.44140625" style="797" customWidth="1"/>
    <col min="4359" max="4359" width="2.88671875" style="797" customWidth="1"/>
    <col min="4360" max="4360" width="11.44140625" style="797" customWidth="1"/>
    <col min="4361" max="4361" width="2.88671875" style="797" customWidth="1"/>
    <col min="4362" max="4362" width="11.44140625" style="797" customWidth="1"/>
    <col min="4363" max="4363" width="2.88671875" style="797" customWidth="1"/>
    <col min="4364" max="4364" width="11.44140625" style="797" customWidth="1"/>
    <col min="4365" max="4365" width="2.88671875" style="797" customWidth="1"/>
    <col min="4366" max="4366" width="11.44140625" style="797" customWidth="1"/>
    <col min="4367" max="4367" width="2.88671875" style="797" customWidth="1"/>
    <col min="4368" max="4368" width="4.33203125" style="797" customWidth="1"/>
    <col min="4369" max="4369" width="2.88671875" style="797" customWidth="1"/>
    <col min="4370" max="4370" width="11.44140625" style="797" customWidth="1"/>
    <col min="4371" max="4371" width="11.88671875" style="797" customWidth="1"/>
    <col min="4372" max="4609" width="7.109375" style="797"/>
    <col min="4610" max="4610" width="4.33203125" style="797" customWidth="1"/>
    <col min="4611" max="4611" width="2.88671875" style="797" customWidth="1"/>
    <col min="4612" max="4612" width="22.33203125" style="797" customWidth="1"/>
    <col min="4613" max="4613" width="4.33203125" style="797" customWidth="1"/>
    <col min="4614" max="4614" width="11.44140625" style="797" customWidth="1"/>
    <col min="4615" max="4615" width="2.88671875" style="797" customWidth="1"/>
    <col min="4616" max="4616" width="11.44140625" style="797" customWidth="1"/>
    <col min="4617" max="4617" width="2.88671875" style="797" customWidth="1"/>
    <col min="4618" max="4618" width="11.44140625" style="797" customWidth="1"/>
    <col min="4619" max="4619" width="2.88671875" style="797" customWidth="1"/>
    <col min="4620" max="4620" width="11.44140625" style="797" customWidth="1"/>
    <col min="4621" max="4621" width="2.88671875" style="797" customWidth="1"/>
    <col min="4622" max="4622" width="11.44140625" style="797" customWidth="1"/>
    <col min="4623" max="4623" width="2.88671875" style="797" customWidth="1"/>
    <col min="4624" max="4624" width="4.33203125" style="797" customWidth="1"/>
    <col min="4625" max="4625" width="2.88671875" style="797" customWidth="1"/>
    <col min="4626" max="4626" width="11.44140625" style="797" customWidth="1"/>
    <col min="4627" max="4627" width="11.88671875" style="797" customWidth="1"/>
    <col min="4628" max="4865" width="7.109375" style="797"/>
    <col min="4866" max="4866" width="4.33203125" style="797" customWidth="1"/>
    <col min="4867" max="4867" width="2.88671875" style="797" customWidth="1"/>
    <col min="4868" max="4868" width="22.33203125" style="797" customWidth="1"/>
    <col min="4869" max="4869" width="4.33203125" style="797" customWidth="1"/>
    <col min="4870" max="4870" width="11.44140625" style="797" customWidth="1"/>
    <col min="4871" max="4871" width="2.88671875" style="797" customWidth="1"/>
    <col min="4872" max="4872" width="11.44140625" style="797" customWidth="1"/>
    <col min="4873" max="4873" width="2.88671875" style="797" customWidth="1"/>
    <col min="4874" max="4874" width="11.44140625" style="797" customWidth="1"/>
    <col min="4875" max="4875" width="2.88671875" style="797" customWidth="1"/>
    <col min="4876" max="4876" width="11.44140625" style="797" customWidth="1"/>
    <col min="4877" max="4877" width="2.88671875" style="797" customWidth="1"/>
    <col min="4878" max="4878" width="11.44140625" style="797" customWidth="1"/>
    <col min="4879" max="4879" width="2.88671875" style="797" customWidth="1"/>
    <col min="4880" max="4880" width="4.33203125" style="797" customWidth="1"/>
    <col min="4881" max="4881" width="2.88671875" style="797" customWidth="1"/>
    <col min="4882" max="4882" width="11.44140625" style="797" customWidth="1"/>
    <col min="4883" max="4883" width="11.88671875" style="797" customWidth="1"/>
    <col min="4884" max="5121" width="7.109375" style="797"/>
    <col min="5122" max="5122" width="4.33203125" style="797" customWidth="1"/>
    <col min="5123" max="5123" width="2.88671875" style="797" customWidth="1"/>
    <col min="5124" max="5124" width="22.33203125" style="797" customWidth="1"/>
    <col min="5125" max="5125" width="4.33203125" style="797" customWidth="1"/>
    <col min="5126" max="5126" width="11.44140625" style="797" customWidth="1"/>
    <col min="5127" max="5127" width="2.88671875" style="797" customWidth="1"/>
    <col min="5128" max="5128" width="11.44140625" style="797" customWidth="1"/>
    <col min="5129" max="5129" width="2.88671875" style="797" customWidth="1"/>
    <col min="5130" max="5130" width="11.44140625" style="797" customWidth="1"/>
    <col min="5131" max="5131" width="2.88671875" style="797" customWidth="1"/>
    <col min="5132" max="5132" width="11.44140625" style="797" customWidth="1"/>
    <col min="5133" max="5133" width="2.88671875" style="797" customWidth="1"/>
    <col min="5134" max="5134" width="11.44140625" style="797" customWidth="1"/>
    <col min="5135" max="5135" width="2.88671875" style="797" customWidth="1"/>
    <col min="5136" max="5136" width="4.33203125" style="797" customWidth="1"/>
    <col min="5137" max="5137" width="2.88671875" style="797" customWidth="1"/>
    <col min="5138" max="5138" width="11.44140625" style="797" customWidth="1"/>
    <col min="5139" max="5139" width="11.88671875" style="797" customWidth="1"/>
    <col min="5140" max="5377" width="7.109375" style="797"/>
    <col min="5378" max="5378" width="4.33203125" style="797" customWidth="1"/>
    <col min="5379" max="5379" width="2.88671875" style="797" customWidth="1"/>
    <col min="5380" max="5380" width="22.33203125" style="797" customWidth="1"/>
    <col min="5381" max="5381" width="4.33203125" style="797" customWidth="1"/>
    <col min="5382" max="5382" width="11.44140625" style="797" customWidth="1"/>
    <col min="5383" max="5383" width="2.88671875" style="797" customWidth="1"/>
    <col min="5384" max="5384" width="11.44140625" style="797" customWidth="1"/>
    <col min="5385" max="5385" width="2.88671875" style="797" customWidth="1"/>
    <col min="5386" max="5386" width="11.44140625" style="797" customWidth="1"/>
    <col min="5387" max="5387" width="2.88671875" style="797" customWidth="1"/>
    <col min="5388" max="5388" width="11.44140625" style="797" customWidth="1"/>
    <col min="5389" max="5389" width="2.88671875" style="797" customWidth="1"/>
    <col min="5390" max="5390" width="11.44140625" style="797" customWidth="1"/>
    <col min="5391" max="5391" width="2.88671875" style="797" customWidth="1"/>
    <col min="5392" max="5392" width="4.33203125" style="797" customWidth="1"/>
    <col min="5393" max="5393" width="2.88671875" style="797" customWidth="1"/>
    <col min="5394" max="5394" width="11.44140625" style="797" customWidth="1"/>
    <col min="5395" max="5395" width="11.88671875" style="797" customWidth="1"/>
    <col min="5396" max="5633" width="7.109375" style="797"/>
    <col min="5634" max="5634" width="4.33203125" style="797" customWidth="1"/>
    <col min="5635" max="5635" width="2.88671875" style="797" customWidth="1"/>
    <col min="5636" max="5636" width="22.33203125" style="797" customWidth="1"/>
    <col min="5637" max="5637" width="4.33203125" style="797" customWidth="1"/>
    <col min="5638" max="5638" width="11.44140625" style="797" customWidth="1"/>
    <col min="5639" max="5639" width="2.88671875" style="797" customWidth="1"/>
    <col min="5640" max="5640" width="11.44140625" style="797" customWidth="1"/>
    <col min="5641" max="5641" width="2.88671875" style="797" customWidth="1"/>
    <col min="5642" max="5642" width="11.44140625" style="797" customWidth="1"/>
    <col min="5643" max="5643" width="2.88671875" style="797" customWidth="1"/>
    <col min="5644" max="5644" width="11.44140625" style="797" customWidth="1"/>
    <col min="5645" max="5645" width="2.88671875" style="797" customWidth="1"/>
    <col min="5646" max="5646" width="11.44140625" style="797" customWidth="1"/>
    <col min="5647" max="5647" width="2.88671875" style="797" customWidth="1"/>
    <col min="5648" max="5648" width="4.33203125" style="797" customWidth="1"/>
    <col min="5649" max="5649" width="2.88671875" style="797" customWidth="1"/>
    <col min="5650" max="5650" width="11.44140625" style="797" customWidth="1"/>
    <col min="5651" max="5651" width="11.88671875" style="797" customWidth="1"/>
    <col min="5652" max="5889" width="7.109375" style="797"/>
    <col min="5890" max="5890" width="4.33203125" style="797" customWidth="1"/>
    <col min="5891" max="5891" width="2.88671875" style="797" customWidth="1"/>
    <col min="5892" max="5892" width="22.33203125" style="797" customWidth="1"/>
    <col min="5893" max="5893" width="4.33203125" style="797" customWidth="1"/>
    <col min="5894" max="5894" width="11.44140625" style="797" customWidth="1"/>
    <col min="5895" max="5895" width="2.88671875" style="797" customWidth="1"/>
    <col min="5896" max="5896" width="11.44140625" style="797" customWidth="1"/>
    <col min="5897" max="5897" width="2.88671875" style="797" customWidth="1"/>
    <col min="5898" max="5898" width="11.44140625" style="797" customWidth="1"/>
    <col min="5899" max="5899" width="2.88671875" style="797" customWidth="1"/>
    <col min="5900" max="5900" width="11.44140625" style="797" customWidth="1"/>
    <col min="5901" max="5901" width="2.88671875" style="797" customWidth="1"/>
    <col min="5902" max="5902" width="11.44140625" style="797" customWidth="1"/>
    <col min="5903" max="5903" width="2.88671875" style="797" customWidth="1"/>
    <col min="5904" max="5904" width="4.33203125" style="797" customWidth="1"/>
    <col min="5905" max="5905" width="2.88671875" style="797" customWidth="1"/>
    <col min="5906" max="5906" width="11.44140625" style="797" customWidth="1"/>
    <col min="5907" max="5907" width="11.88671875" style="797" customWidth="1"/>
    <col min="5908" max="6145" width="7.109375" style="797"/>
    <col min="6146" max="6146" width="4.33203125" style="797" customWidth="1"/>
    <col min="6147" max="6147" width="2.88671875" style="797" customWidth="1"/>
    <col min="6148" max="6148" width="22.33203125" style="797" customWidth="1"/>
    <col min="6149" max="6149" width="4.33203125" style="797" customWidth="1"/>
    <col min="6150" max="6150" width="11.44140625" style="797" customWidth="1"/>
    <col min="6151" max="6151" width="2.88671875" style="797" customWidth="1"/>
    <col min="6152" max="6152" width="11.44140625" style="797" customWidth="1"/>
    <col min="6153" max="6153" width="2.88671875" style="797" customWidth="1"/>
    <col min="6154" max="6154" width="11.44140625" style="797" customWidth="1"/>
    <col min="6155" max="6155" width="2.88671875" style="797" customWidth="1"/>
    <col min="6156" max="6156" width="11.44140625" style="797" customWidth="1"/>
    <col min="6157" max="6157" width="2.88671875" style="797" customWidth="1"/>
    <col min="6158" max="6158" width="11.44140625" style="797" customWidth="1"/>
    <col min="6159" max="6159" width="2.88671875" style="797" customWidth="1"/>
    <col min="6160" max="6160" width="4.33203125" style="797" customWidth="1"/>
    <col min="6161" max="6161" width="2.88671875" style="797" customWidth="1"/>
    <col min="6162" max="6162" width="11.44140625" style="797" customWidth="1"/>
    <col min="6163" max="6163" width="11.88671875" style="797" customWidth="1"/>
    <col min="6164" max="6401" width="7.109375" style="797"/>
    <col min="6402" max="6402" width="4.33203125" style="797" customWidth="1"/>
    <col min="6403" max="6403" width="2.88671875" style="797" customWidth="1"/>
    <col min="6404" max="6404" width="22.33203125" style="797" customWidth="1"/>
    <col min="6405" max="6405" width="4.33203125" style="797" customWidth="1"/>
    <col min="6406" max="6406" width="11.44140625" style="797" customWidth="1"/>
    <col min="6407" max="6407" width="2.88671875" style="797" customWidth="1"/>
    <col min="6408" max="6408" width="11.44140625" style="797" customWidth="1"/>
    <col min="6409" max="6409" width="2.88671875" style="797" customWidth="1"/>
    <col min="6410" max="6410" width="11.44140625" style="797" customWidth="1"/>
    <col min="6411" max="6411" width="2.88671875" style="797" customWidth="1"/>
    <col min="6412" max="6412" width="11.44140625" style="797" customWidth="1"/>
    <col min="6413" max="6413" width="2.88671875" style="797" customWidth="1"/>
    <col min="6414" max="6414" width="11.44140625" style="797" customWidth="1"/>
    <col min="6415" max="6415" width="2.88671875" style="797" customWidth="1"/>
    <col min="6416" max="6416" width="4.33203125" style="797" customWidth="1"/>
    <col min="6417" max="6417" width="2.88671875" style="797" customWidth="1"/>
    <col min="6418" max="6418" width="11.44140625" style="797" customWidth="1"/>
    <col min="6419" max="6419" width="11.88671875" style="797" customWidth="1"/>
    <col min="6420" max="6657" width="7.109375" style="797"/>
    <col min="6658" max="6658" width="4.33203125" style="797" customWidth="1"/>
    <col min="6659" max="6659" width="2.88671875" style="797" customWidth="1"/>
    <col min="6660" max="6660" width="22.33203125" style="797" customWidth="1"/>
    <col min="6661" max="6661" width="4.33203125" style="797" customWidth="1"/>
    <col min="6662" max="6662" width="11.44140625" style="797" customWidth="1"/>
    <col min="6663" max="6663" width="2.88671875" style="797" customWidth="1"/>
    <col min="6664" max="6664" width="11.44140625" style="797" customWidth="1"/>
    <col min="6665" max="6665" width="2.88671875" style="797" customWidth="1"/>
    <col min="6666" max="6666" width="11.44140625" style="797" customWidth="1"/>
    <col min="6667" max="6667" width="2.88671875" style="797" customWidth="1"/>
    <col min="6668" max="6668" width="11.44140625" style="797" customWidth="1"/>
    <col min="6669" max="6669" width="2.88671875" style="797" customWidth="1"/>
    <col min="6670" max="6670" width="11.44140625" style="797" customWidth="1"/>
    <col min="6671" max="6671" width="2.88671875" style="797" customWidth="1"/>
    <col min="6672" max="6672" width="4.33203125" style="797" customWidth="1"/>
    <col min="6673" max="6673" width="2.88671875" style="797" customWidth="1"/>
    <col min="6674" max="6674" width="11.44140625" style="797" customWidth="1"/>
    <col min="6675" max="6675" width="11.88671875" style="797" customWidth="1"/>
    <col min="6676" max="6913" width="7.109375" style="797"/>
    <col min="6914" max="6914" width="4.33203125" style="797" customWidth="1"/>
    <col min="6915" max="6915" width="2.88671875" style="797" customWidth="1"/>
    <col min="6916" max="6916" width="22.33203125" style="797" customWidth="1"/>
    <col min="6917" max="6917" width="4.33203125" style="797" customWidth="1"/>
    <col min="6918" max="6918" width="11.44140625" style="797" customWidth="1"/>
    <col min="6919" max="6919" width="2.88671875" style="797" customWidth="1"/>
    <col min="6920" max="6920" width="11.44140625" style="797" customWidth="1"/>
    <col min="6921" max="6921" width="2.88671875" style="797" customWidth="1"/>
    <col min="6922" max="6922" width="11.44140625" style="797" customWidth="1"/>
    <col min="6923" max="6923" width="2.88671875" style="797" customWidth="1"/>
    <col min="6924" max="6924" width="11.44140625" style="797" customWidth="1"/>
    <col min="6925" max="6925" width="2.88671875" style="797" customWidth="1"/>
    <col min="6926" max="6926" width="11.44140625" style="797" customWidth="1"/>
    <col min="6927" max="6927" width="2.88671875" style="797" customWidth="1"/>
    <col min="6928" max="6928" width="4.33203125" style="797" customWidth="1"/>
    <col min="6929" max="6929" width="2.88671875" style="797" customWidth="1"/>
    <col min="6930" max="6930" width="11.44140625" style="797" customWidth="1"/>
    <col min="6931" max="6931" width="11.88671875" style="797" customWidth="1"/>
    <col min="6932" max="7169" width="7.109375" style="797"/>
    <col min="7170" max="7170" width="4.33203125" style="797" customWidth="1"/>
    <col min="7171" max="7171" width="2.88671875" style="797" customWidth="1"/>
    <col min="7172" max="7172" width="22.33203125" style="797" customWidth="1"/>
    <col min="7173" max="7173" width="4.33203125" style="797" customWidth="1"/>
    <col min="7174" max="7174" width="11.44140625" style="797" customWidth="1"/>
    <col min="7175" max="7175" width="2.88671875" style="797" customWidth="1"/>
    <col min="7176" max="7176" width="11.44140625" style="797" customWidth="1"/>
    <col min="7177" max="7177" width="2.88671875" style="797" customWidth="1"/>
    <col min="7178" max="7178" width="11.44140625" style="797" customWidth="1"/>
    <col min="7179" max="7179" width="2.88671875" style="797" customWidth="1"/>
    <col min="7180" max="7180" width="11.44140625" style="797" customWidth="1"/>
    <col min="7181" max="7181" width="2.88671875" style="797" customWidth="1"/>
    <col min="7182" max="7182" width="11.44140625" style="797" customWidth="1"/>
    <col min="7183" max="7183" width="2.88671875" style="797" customWidth="1"/>
    <col min="7184" max="7184" width="4.33203125" style="797" customWidth="1"/>
    <col min="7185" max="7185" width="2.88671875" style="797" customWidth="1"/>
    <col min="7186" max="7186" width="11.44140625" style="797" customWidth="1"/>
    <col min="7187" max="7187" width="11.88671875" style="797" customWidth="1"/>
    <col min="7188" max="7425" width="7.109375" style="797"/>
    <col min="7426" max="7426" width="4.33203125" style="797" customWidth="1"/>
    <col min="7427" max="7427" width="2.88671875" style="797" customWidth="1"/>
    <col min="7428" max="7428" width="22.33203125" style="797" customWidth="1"/>
    <col min="7429" max="7429" width="4.33203125" style="797" customWidth="1"/>
    <col min="7430" max="7430" width="11.44140625" style="797" customWidth="1"/>
    <col min="7431" max="7431" width="2.88671875" style="797" customWidth="1"/>
    <col min="7432" max="7432" width="11.44140625" style="797" customWidth="1"/>
    <col min="7433" max="7433" width="2.88671875" style="797" customWidth="1"/>
    <col min="7434" max="7434" width="11.44140625" style="797" customWidth="1"/>
    <col min="7435" max="7435" width="2.88671875" style="797" customWidth="1"/>
    <col min="7436" max="7436" width="11.44140625" style="797" customWidth="1"/>
    <col min="7437" max="7437" width="2.88671875" style="797" customWidth="1"/>
    <col min="7438" max="7438" width="11.44140625" style="797" customWidth="1"/>
    <col min="7439" max="7439" width="2.88671875" style="797" customWidth="1"/>
    <col min="7440" max="7440" width="4.33203125" style="797" customWidth="1"/>
    <col min="7441" max="7441" width="2.88671875" style="797" customWidth="1"/>
    <col min="7442" max="7442" width="11.44140625" style="797" customWidth="1"/>
    <col min="7443" max="7443" width="11.88671875" style="797" customWidth="1"/>
    <col min="7444" max="7681" width="7.109375" style="797"/>
    <col min="7682" max="7682" width="4.33203125" style="797" customWidth="1"/>
    <col min="7683" max="7683" width="2.88671875" style="797" customWidth="1"/>
    <col min="7684" max="7684" width="22.33203125" style="797" customWidth="1"/>
    <col min="7685" max="7685" width="4.33203125" style="797" customWidth="1"/>
    <col min="7686" max="7686" width="11.44140625" style="797" customWidth="1"/>
    <col min="7687" max="7687" width="2.88671875" style="797" customWidth="1"/>
    <col min="7688" max="7688" width="11.44140625" style="797" customWidth="1"/>
    <col min="7689" max="7689" width="2.88671875" style="797" customWidth="1"/>
    <col min="7690" max="7690" width="11.44140625" style="797" customWidth="1"/>
    <col min="7691" max="7691" width="2.88671875" style="797" customWidth="1"/>
    <col min="7692" max="7692" width="11.44140625" style="797" customWidth="1"/>
    <col min="7693" max="7693" width="2.88671875" style="797" customWidth="1"/>
    <col min="7694" max="7694" width="11.44140625" style="797" customWidth="1"/>
    <col min="7695" max="7695" width="2.88671875" style="797" customWidth="1"/>
    <col min="7696" max="7696" width="4.33203125" style="797" customWidth="1"/>
    <col min="7697" max="7697" width="2.88671875" style="797" customWidth="1"/>
    <col min="7698" max="7698" width="11.44140625" style="797" customWidth="1"/>
    <col min="7699" max="7699" width="11.88671875" style="797" customWidth="1"/>
    <col min="7700" max="7937" width="7.109375" style="797"/>
    <col min="7938" max="7938" width="4.33203125" style="797" customWidth="1"/>
    <col min="7939" max="7939" width="2.88671875" style="797" customWidth="1"/>
    <col min="7940" max="7940" width="22.33203125" style="797" customWidth="1"/>
    <col min="7941" max="7941" width="4.33203125" style="797" customWidth="1"/>
    <col min="7942" max="7942" width="11.44140625" style="797" customWidth="1"/>
    <col min="7943" max="7943" width="2.88671875" style="797" customWidth="1"/>
    <col min="7944" max="7944" width="11.44140625" style="797" customWidth="1"/>
    <col min="7945" max="7945" width="2.88671875" style="797" customWidth="1"/>
    <col min="7946" max="7946" width="11.44140625" style="797" customWidth="1"/>
    <col min="7947" max="7947" width="2.88671875" style="797" customWidth="1"/>
    <col min="7948" max="7948" width="11.44140625" style="797" customWidth="1"/>
    <col min="7949" max="7949" width="2.88671875" style="797" customWidth="1"/>
    <col min="7950" max="7950" width="11.44140625" style="797" customWidth="1"/>
    <col min="7951" max="7951" width="2.88671875" style="797" customWidth="1"/>
    <col min="7952" max="7952" width="4.33203125" style="797" customWidth="1"/>
    <col min="7953" max="7953" width="2.88671875" style="797" customWidth="1"/>
    <col min="7954" max="7954" width="11.44140625" style="797" customWidth="1"/>
    <col min="7955" max="7955" width="11.88671875" style="797" customWidth="1"/>
    <col min="7956" max="8193" width="7.109375" style="797"/>
    <col min="8194" max="8194" width="4.33203125" style="797" customWidth="1"/>
    <col min="8195" max="8195" width="2.88671875" style="797" customWidth="1"/>
    <col min="8196" max="8196" width="22.33203125" style="797" customWidth="1"/>
    <col min="8197" max="8197" width="4.33203125" style="797" customWidth="1"/>
    <col min="8198" max="8198" width="11.44140625" style="797" customWidth="1"/>
    <col min="8199" max="8199" width="2.88671875" style="797" customWidth="1"/>
    <col min="8200" max="8200" width="11.44140625" style="797" customWidth="1"/>
    <col min="8201" max="8201" width="2.88671875" style="797" customWidth="1"/>
    <col min="8202" max="8202" width="11.44140625" style="797" customWidth="1"/>
    <col min="8203" max="8203" width="2.88671875" style="797" customWidth="1"/>
    <col min="8204" max="8204" width="11.44140625" style="797" customWidth="1"/>
    <col min="8205" max="8205" width="2.88671875" style="797" customWidth="1"/>
    <col min="8206" max="8206" width="11.44140625" style="797" customWidth="1"/>
    <col min="8207" max="8207" width="2.88671875" style="797" customWidth="1"/>
    <col min="8208" max="8208" width="4.33203125" style="797" customWidth="1"/>
    <col min="8209" max="8209" width="2.88671875" style="797" customWidth="1"/>
    <col min="8210" max="8210" width="11.44140625" style="797" customWidth="1"/>
    <col min="8211" max="8211" width="11.88671875" style="797" customWidth="1"/>
    <col min="8212" max="8449" width="7.109375" style="797"/>
    <col min="8450" max="8450" width="4.33203125" style="797" customWidth="1"/>
    <col min="8451" max="8451" width="2.88671875" style="797" customWidth="1"/>
    <col min="8452" max="8452" width="22.33203125" style="797" customWidth="1"/>
    <col min="8453" max="8453" width="4.33203125" style="797" customWidth="1"/>
    <col min="8454" max="8454" width="11.44140625" style="797" customWidth="1"/>
    <col min="8455" max="8455" width="2.88671875" style="797" customWidth="1"/>
    <col min="8456" max="8456" width="11.44140625" style="797" customWidth="1"/>
    <col min="8457" max="8457" width="2.88671875" style="797" customWidth="1"/>
    <col min="8458" max="8458" width="11.44140625" style="797" customWidth="1"/>
    <col min="8459" max="8459" width="2.88671875" style="797" customWidth="1"/>
    <col min="8460" max="8460" width="11.44140625" style="797" customWidth="1"/>
    <col min="8461" max="8461" width="2.88671875" style="797" customWidth="1"/>
    <col min="8462" max="8462" width="11.44140625" style="797" customWidth="1"/>
    <col min="8463" max="8463" width="2.88671875" style="797" customWidth="1"/>
    <col min="8464" max="8464" width="4.33203125" style="797" customWidth="1"/>
    <col min="8465" max="8465" width="2.88671875" style="797" customWidth="1"/>
    <col min="8466" max="8466" width="11.44140625" style="797" customWidth="1"/>
    <col min="8467" max="8467" width="11.88671875" style="797" customWidth="1"/>
    <col min="8468" max="8705" width="7.109375" style="797"/>
    <col min="8706" max="8706" width="4.33203125" style="797" customWidth="1"/>
    <col min="8707" max="8707" width="2.88671875" style="797" customWidth="1"/>
    <col min="8708" max="8708" width="22.33203125" style="797" customWidth="1"/>
    <col min="8709" max="8709" width="4.33203125" style="797" customWidth="1"/>
    <col min="8710" max="8710" width="11.44140625" style="797" customWidth="1"/>
    <col min="8711" max="8711" width="2.88671875" style="797" customWidth="1"/>
    <col min="8712" max="8712" width="11.44140625" style="797" customWidth="1"/>
    <col min="8713" max="8713" width="2.88671875" style="797" customWidth="1"/>
    <col min="8714" max="8714" width="11.44140625" style="797" customWidth="1"/>
    <col min="8715" max="8715" width="2.88671875" style="797" customWidth="1"/>
    <col min="8716" max="8716" width="11.44140625" style="797" customWidth="1"/>
    <col min="8717" max="8717" width="2.88671875" style="797" customWidth="1"/>
    <col min="8718" max="8718" width="11.44140625" style="797" customWidth="1"/>
    <col min="8719" max="8719" width="2.88671875" style="797" customWidth="1"/>
    <col min="8720" max="8720" width="4.33203125" style="797" customWidth="1"/>
    <col min="8721" max="8721" width="2.88671875" style="797" customWidth="1"/>
    <col min="8722" max="8722" width="11.44140625" style="797" customWidth="1"/>
    <col min="8723" max="8723" width="11.88671875" style="797" customWidth="1"/>
    <col min="8724" max="8961" width="7.109375" style="797"/>
    <col min="8962" max="8962" width="4.33203125" style="797" customWidth="1"/>
    <col min="8963" max="8963" width="2.88671875" style="797" customWidth="1"/>
    <col min="8964" max="8964" width="22.33203125" style="797" customWidth="1"/>
    <col min="8965" max="8965" width="4.33203125" style="797" customWidth="1"/>
    <col min="8966" max="8966" width="11.44140625" style="797" customWidth="1"/>
    <col min="8967" max="8967" width="2.88671875" style="797" customWidth="1"/>
    <col min="8968" max="8968" width="11.44140625" style="797" customWidth="1"/>
    <col min="8969" max="8969" width="2.88671875" style="797" customWidth="1"/>
    <col min="8970" max="8970" width="11.44140625" style="797" customWidth="1"/>
    <col min="8971" max="8971" width="2.88671875" style="797" customWidth="1"/>
    <col min="8972" max="8972" width="11.44140625" style="797" customWidth="1"/>
    <col min="8973" max="8973" width="2.88671875" style="797" customWidth="1"/>
    <col min="8974" max="8974" width="11.44140625" style="797" customWidth="1"/>
    <col min="8975" max="8975" width="2.88671875" style="797" customWidth="1"/>
    <col min="8976" max="8976" width="4.33203125" style="797" customWidth="1"/>
    <col min="8977" max="8977" width="2.88671875" style="797" customWidth="1"/>
    <col min="8978" max="8978" width="11.44140625" style="797" customWidth="1"/>
    <col min="8979" max="8979" width="11.88671875" style="797" customWidth="1"/>
    <col min="8980" max="9217" width="7.109375" style="797"/>
    <col min="9218" max="9218" width="4.33203125" style="797" customWidth="1"/>
    <col min="9219" max="9219" width="2.88671875" style="797" customWidth="1"/>
    <col min="9220" max="9220" width="22.33203125" style="797" customWidth="1"/>
    <col min="9221" max="9221" width="4.33203125" style="797" customWidth="1"/>
    <col min="9222" max="9222" width="11.44140625" style="797" customWidth="1"/>
    <col min="9223" max="9223" width="2.88671875" style="797" customWidth="1"/>
    <col min="9224" max="9224" width="11.44140625" style="797" customWidth="1"/>
    <col min="9225" max="9225" width="2.88671875" style="797" customWidth="1"/>
    <col min="9226" max="9226" width="11.44140625" style="797" customWidth="1"/>
    <col min="9227" max="9227" width="2.88671875" style="797" customWidth="1"/>
    <col min="9228" max="9228" width="11.44140625" style="797" customWidth="1"/>
    <col min="9229" max="9229" width="2.88671875" style="797" customWidth="1"/>
    <col min="9230" max="9230" width="11.44140625" style="797" customWidth="1"/>
    <col min="9231" max="9231" width="2.88671875" style="797" customWidth="1"/>
    <col min="9232" max="9232" width="4.33203125" style="797" customWidth="1"/>
    <col min="9233" max="9233" width="2.88671875" style="797" customWidth="1"/>
    <col min="9234" max="9234" width="11.44140625" style="797" customWidth="1"/>
    <col min="9235" max="9235" width="11.88671875" style="797" customWidth="1"/>
    <col min="9236" max="9473" width="7.109375" style="797"/>
    <col min="9474" max="9474" width="4.33203125" style="797" customWidth="1"/>
    <col min="9475" max="9475" width="2.88671875" style="797" customWidth="1"/>
    <col min="9476" max="9476" width="22.33203125" style="797" customWidth="1"/>
    <col min="9477" max="9477" width="4.33203125" style="797" customWidth="1"/>
    <col min="9478" max="9478" width="11.44140625" style="797" customWidth="1"/>
    <col min="9479" max="9479" width="2.88671875" style="797" customWidth="1"/>
    <col min="9480" max="9480" width="11.44140625" style="797" customWidth="1"/>
    <col min="9481" max="9481" width="2.88671875" style="797" customWidth="1"/>
    <col min="9482" max="9482" width="11.44140625" style="797" customWidth="1"/>
    <col min="9483" max="9483" width="2.88671875" style="797" customWidth="1"/>
    <col min="9484" max="9484" width="11.44140625" style="797" customWidth="1"/>
    <col min="9485" max="9485" width="2.88671875" style="797" customWidth="1"/>
    <col min="9486" max="9486" width="11.44140625" style="797" customWidth="1"/>
    <col min="9487" max="9487" width="2.88671875" style="797" customWidth="1"/>
    <col min="9488" max="9488" width="4.33203125" style="797" customWidth="1"/>
    <col min="9489" max="9489" width="2.88671875" style="797" customWidth="1"/>
    <col min="9490" max="9490" width="11.44140625" style="797" customWidth="1"/>
    <col min="9491" max="9491" width="11.88671875" style="797" customWidth="1"/>
    <col min="9492" max="9729" width="7.109375" style="797"/>
    <col min="9730" max="9730" width="4.33203125" style="797" customWidth="1"/>
    <col min="9731" max="9731" width="2.88671875" style="797" customWidth="1"/>
    <col min="9732" max="9732" width="22.33203125" style="797" customWidth="1"/>
    <col min="9733" max="9733" width="4.33203125" style="797" customWidth="1"/>
    <col min="9734" max="9734" width="11.44140625" style="797" customWidth="1"/>
    <col min="9735" max="9735" width="2.88671875" style="797" customWidth="1"/>
    <col min="9736" max="9736" width="11.44140625" style="797" customWidth="1"/>
    <col min="9737" max="9737" width="2.88671875" style="797" customWidth="1"/>
    <col min="9738" max="9738" width="11.44140625" style="797" customWidth="1"/>
    <col min="9739" max="9739" width="2.88671875" style="797" customWidth="1"/>
    <col min="9740" max="9740" width="11.44140625" style="797" customWidth="1"/>
    <col min="9741" max="9741" width="2.88671875" style="797" customWidth="1"/>
    <col min="9742" max="9742" width="11.44140625" style="797" customWidth="1"/>
    <col min="9743" max="9743" width="2.88671875" style="797" customWidth="1"/>
    <col min="9744" max="9744" width="4.33203125" style="797" customWidth="1"/>
    <col min="9745" max="9745" width="2.88671875" style="797" customWidth="1"/>
    <col min="9746" max="9746" width="11.44140625" style="797" customWidth="1"/>
    <col min="9747" max="9747" width="11.88671875" style="797" customWidth="1"/>
    <col min="9748" max="9985" width="7.109375" style="797"/>
    <col min="9986" max="9986" width="4.33203125" style="797" customWidth="1"/>
    <col min="9987" max="9987" width="2.88671875" style="797" customWidth="1"/>
    <col min="9988" max="9988" width="22.33203125" style="797" customWidth="1"/>
    <col min="9989" max="9989" width="4.33203125" style="797" customWidth="1"/>
    <col min="9990" max="9990" width="11.44140625" style="797" customWidth="1"/>
    <col min="9991" max="9991" width="2.88671875" style="797" customWidth="1"/>
    <col min="9992" max="9992" width="11.44140625" style="797" customWidth="1"/>
    <col min="9993" max="9993" width="2.88671875" style="797" customWidth="1"/>
    <col min="9994" max="9994" width="11.44140625" style="797" customWidth="1"/>
    <col min="9995" max="9995" width="2.88671875" style="797" customWidth="1"/>
    <col min="9996" max="9996" width="11.44140625" style="797" customWidth="1"/>
    <col min="9997" max="9997" width="2.88671875" style="797" customWidth="1"/>
    <col min="9998" max="9998" width="11.44140625" style="797" customWidth="1"/>
    <col min="9999" max="9999" width="2.88671875" style="797" customWidth="1"/>
    <col min="10000" max="10000" width="4.33203125" style="797" customWidth="1"/>
    <col min="10001" max="10001" width="2.88671875" style="797" customWidth="1"/>
    <col min="10002" max="10002" width="11.44140625" style="797" customWidth="1"/>
    <col min="10003" max="10003" width="11.88671875" style="797" customWidth="1"/>
    <col min="10004" max="10241" width="7.109375" style="797"/>
    <col min="10242" max="10242" width="4.33203125" style="797" customWidth="1"/>
    <col min="10243" max="10243" width="2.88671875" style="797" customWidth="1"/>
    <col min="10244" max="10244" width="22.33203125" style="797" customWidth="1"/>
    <col min="10245" max="10245" width="4.33203125" style="797" customWidth="1"/>
    <col min="10246" max="10246" width="11.44140625" style="797" customWidth="1"/>
    <col min="10247" max="10247" width="2.88671875" style="797" customWidth="1"/>
    <col min="10248" max="10248" width="11.44140625" style="797" customWidth="1"/>
    <col min="10249" max="10249" width="2.88671875" style="797" customWidth="1"/>
    <col min="10250" max="10250" width="11.44140625" style="797" customWidth="1"/>
    <col min="10251" max="10251" width="2.88671875" style="797" customWidth="1"/>
    <col min="10252" max="10252" width="11.44140625" style="797" customWidth="1"/>
    <col min="10253" max="10253" width="2.88671875" style="797" customWidth="1"/>
    <col min="10254" max="10254" width="11.44140625" style="797" customWidth="1"/>
    <col min="10255" max="10255" width="2.88671875" style="797" customWidth="1"/>
    <col min="10256" max="10256" width="4.33203125" style="797" customWidth="1"/>
    <col min="10257" max="10257" width="2.88671875" style="797" customWidth="1"/>
    <col min="10258" max="10258" width="11.44140625" style="797" customWidth="1"/>
    <col min="10259" max="10259" width="11.88671875" style="797" customWidth="1"/>
    <col min="10260" max="10497" width="7.109375" style="797"/>
    <col min="10498" max="10498" width="4.33203125" style="797" customWidth="1"/>
    <col min="10499" max="10499" width="2.88671875" style="797" customWidth="1"/>
    <col min="10500" max="10500" width="22.33203125" style="797" customWidth="1"/>
    <col min="10501" max="10501" width="4.33203125" style="797" customWidth="1"/>
    <col min="10502" max="10502" width="11.44140625" style="797" customWidth="1"/>
    <col min="10503" max="10503" width="2.88671875" style="797" customWidth="1"/>
    <col min="10504" max="10504" width="11.44140625" style="797" customWidth="1"/>
    <col min="10505" max="10505" width="2.88671875" style="797" customWidth="1"/>
    <col min="10506" max="10506" width="11.44140625" style="797" customWidth="1"/>
    <col min="10507" max="10507" width="2.88671875" style="797" customWidth="1"/>
    <col min="10508" max="10508" width="11.44140625" style="797" customWidth="1"/>
    <col min="10509" max="10509" width="2.88671875" style="797" customWidth="1"/>
    <col min="10510" max="10510" width="11.44140625" style="797" customWidth="1"/>
    <col min="10511" max="10511" width="2.88671875" style="797" customWidth="1"/>
    <col min="10512" max="10512" width="4.33203125" style="797" customWidth="1"/>
    <col min="10513" max="10513" width="2.88671875" style="797" customWidth="1"/>
    <col min="10514" max="10514" width="11.44140625" style="797" customWidth="1"/>
    <col min="10515" max="10515" width="11.88671875" style="797" customWidth="1"/>
    <col min="10516" max="10753" width="7.109375" style="797"/>
    <col min="10754" max="10754" width="4.33203125" style="797" customWidth="1"/>
    <col min="10755" max="10755" width="2.88671875" style="797" customWidth="1"/>
    <col min="10756" max="10756" width="22.33203125" style="797" customWidth="1"/>
    <col min="10757" max="10757" width="4.33203125" style="797" customWidth="1"/>
    <col min="10758" max="10758" width="11.44140625" style="797" customWidth="1"/>
    <col min="10759" max="10759" width="2.88671875" style="797" customWidth="1"/>
    <col min="10760" max="10760" width="11.44140625" style="797" customWidth="1"/>
    <col min="10761" max="10761" width="2.88671875" style="797" customWidth="1"/>
    <col min="10762" max="10762" width="11.44140625" style="797" customWidth="1"/>
    <col min="10763" max="10763" width="2.88671875" style="797" customWidth="1"/>
    <col min="10764" max="10764" width="11.44140625" style="797" customWidth="1"/>
    <col min="10765" max="10765" width="2.88671875" style="797" customWidth="1"/>
    <col min="10766" max="10766" width="11.44140625" style="797" customWidth="1"/>
    <col min="10767" max="10767" width="2.88671875" style="797" customWidth="1"/>
    <col min="10768" max="10768" width="4.33203125" style="797" customWidth="1"/>
    <col min="10769" max="10769" width="2.88671875" style="797" customWidth="1"/>
    <col min="10770" max="10770" width="11.44140625" style="797" customWidth="1"/>
    <col min="10771" max="10771" width="11.88671875" style="797" customWidth="1"/>
    <col min="10772" max="11009" width="7.109375" style="797"/>
    <col min="11010" max="11010" width="4.33203125" style="797" customWidth="1"/>
    <col min="11011" max="11011" width="2.88671875" style="797" customWidth="1"/>
    <col min="11012" max="11012" width="22.33203125" style="797" customWidth="1"/>
    <col min="11013" max="11013" width="4.33203125" style="797" customWidth="1"/>
    <col min="11014" max="11014" width="11.44140625" style="797" customWidth="1"/>
    <col min="11015" max="11015" width="2.88671875" style="797" customWidth="1"/>
    <col min="11016" max="11016" width="11.44140625" style="797" customWidth="1"/>
    <col min="11017" max="11017" width="2.88671875" style="797" customWidth="1"/>
    <col min="11018" max="11018" width="11.44140625" style="797" customWidth="1"/>
    <col min="11019" max="11019" width="2.88671875" style="797" customWidth="1"/>
    <col min="11020" max="11020" width="11.44140625" style="797" customWidth="1"/>
    <col min="11021" max="11021" width="2.88671875" style="797" customWidth="1"/>
    <col min="11022" max="11022" width="11.44140625" style="797" customWidth="1"/>
    <col min="11023" max="11023" width="2.88671875" style="797" customWidth="1"/>
    <col min="11024" max="11024" width="4.33203125" style="797" customWidth="1"/>
    <col min="11025" max="11025" width="2.88671875" style="797" customWidth="1"/>
    <col min="11026" max="11026" width="11.44140625" style="797" customWidth="1"/>
    <col min="11027" max="11027" width="11.88671875" style="797" customWidth="1"/>
    <col min="11028" max="11265" width="7.109375" style="797"/>
    <col min="11266" max="11266" width="4.33203125" style="797" customWidth="1"/>
    <col min="11267" max="11267" width="2.88671875" style="797" customWidth="1"/>
    <col min="11268" max="11268" width="22.33203125" style="797" customWidth="1"/>
    <col min="11269" max="11269" width="4.33203125" style="797" customWidth="1"/>
    <col min="11270" max="11270" width="11.44140625" style="797" customWidth="1"/>
    <col min="11271" max="11271" width="2.88671875" style="797" customWidth="1"/>
    <col min="11272" max="11272" width="11.44140625" style="797" customWidth="1"/>
    <col min="11273" max="11273" width="2.88671875" style="797" customWidth="1"/>
    <col min="11274" max="11274" width="11.44140625" style="797" customWidth="1"/>
    <col min="11275" max="11275" width="2.88671875" style="797" customWidth="1"/>
    <col min="11276" max="11276" width="11.44140625" style="797" customWidth="1"/>
    <col min="11277" max="11277" width="2.88671875" style="797" customWidth="1"/>
    <col min="11278" max="11278" width="11.44140625" style="797" customWidth="1"/>
    <col min="11279" max="11279" width="2.88671875" style="797" customWidth="1"/>
    <col min="11280" max="11280" width="4.33203125" style="797" customWidth="1"/>
    <col min="11281" max="11281" width="2.88671875" style="797" customWidth="1"/>
    <col min="11282" max="11282" width="11.44140625" style="797" customWidth="1"/>
    <col min="11283" max="11283" width="11.88671875" style="797" customWidth="1"/>
    <col min="11284" max="11521" width="7.109375" style="797"/>
    <col min="11522" max="11522" width="4.33203125" style="797" customWidth="1"/>
    <col min="11523" max="11523" width="2.88671875" style="797" customWidth="1"/>
    <col min="11524" max="11524" width="22.33203125" style="797" customWidth="1"/>
    <col min="11525" max="11525" width="4.33203125" style="797" customWidth="1"/>
    <col min="11526" max="11526" width="11.44140625" style="797" customWidth="1"/>
    <col min="11527" max="11527" width="2.88671875" style="797" customWidth="1"/>
    <col min="11528" max="11528" width="11.44140625" style="797" customWidth="1"/>
    <col min="11529" max="11529" width="2.88671875" style="797" customWidth="1"/>
    <col min="11530" max="11530" width="11.44140625" style="797" customWidth="1"/>
    <col min="11531" max="11531" width="2.88671875" style="797" customWidth="1"/>
    <col min="11532" max="11532" width="11.44140625" style="797" customWidth="1"/>
    <col min="11533" max="11533" width="2.88671875" style="797" customWidth="1"/>
    <col min="11534" max="11534" width="11.44140625" style="797" customWidth="1"/>
    <col min="11535" max="11535" width="2.88671875" style="797" customWidth="1"/>
    <col min="11536" max="11536" width="4.33203125" style="797" customWidth="1"/>
    <col min="11537" max="11537" width="2.88671875" style="797" customWidth="1"/>
    <col min="11538" max="11538" width="11.44140625" style="797" customWidth="1"/>
    <col min="11539" max="11539" width="11.88671875" style="797" customWidth="1"/>
    <col min="11540" max="11777" width="7.109375" style="797"/>
    <col min="11778" max="11778" width="4.33203125" style="797" customWidth="1"/>
    <col min="11779" max="11779" width="2.88671875" style="797" customWidth="1"/>
    <col min="11780" max="11780" width="22.33203125" style="797" customWidth="1"/>
    <col min="11781" max="11781" width="4.33203125" style="797" customWidth="1"/>
    <col min="11782" max="11782" width="11.44140625" style="797" customWidth="1"/>
    <col min="11783" max="11783" width="2.88671875" style="797" customWidth="1"/>
    <col min="11784" max="11784" width="11.44140625" style="797" customWidth="1"/>
    <col min="11785" max="11785" width="2.88671875" style="797" customWidth="1"/>
    <col min="11786" max="11786" width="11.44140625" style="797" customWidth="1"/>
    <col min="11787" max="11787" width="2.88671875" style="797" customWidth="1"/>
    <col min="11788" max="11788" width="11.44140625" style="797" customWidth="1"/>
    <col min="11789" max="11789" width="2.88671875" style="797" customWidth="1"/>
    <col min="11790" max="11790" width="11.44140625" style="797" customWidth="1"/>
    <col min="11791" max="11791" width="2.88671875" style="797" customWidth="1"/>
    <col min="11792" max="11792" width="4.33203125" style="797" customWidth="1"/>
    <col min="11793" max="11793" width="2.88671875" style="797" customWidth="1"/>
    <col min="11794" max="11794" width="11.44140625" style="797" customWidth="1"/>
    <col min="11795" max="11795" width="11.88671875" style="797" customWidth="1"/>
    <col min="11796" max="12033" width="7.109375" style="797"/>
    <col min="12034" max="12034" width="4.33203125" style="797" customWidth="1"/>
    <col min="12035" max="12035" width="2.88671875" style="797" customWidth="1"/>
    <col min="12036" max="12036" width="22.33203125" style="797" customWidth="1"/>
    <col min="12037" max="12037" width="4.33203125" style="797" customWidth="1"/>
    <col min="12038" max="12038" width="11.44140625" style="797" customWidth="1"/>
    <col min="12039" max="12039" width="2.88671875" style="797" customWidth="1"/>
    <col min="12040" max="12040" width="11.44140625" style="797" customWidth="1"/>
    <col min="12041" max="12041" width="2.88671875" style="797" customWidth="1"/>
    <col min="12042" max="12042" width="11.44140625" style="797" customWidth="1"/>
    <col min="12043" max="12043" width="2.88671875" style="797" customWidth="1"/>
    <col min="12044" max="12044" width="11.44140625" style="797" customWidth="1"/>
    <col min="12045" max="12045" width="2.88671875" style="797" customWidth="1"/>
    <col min="12046" max="12046" width="11.44140625" style="797" customWidth="1"/>
    <col min="12047" max="12047" width="2.88671875" style="797" customWidth="1"/>
    <col min="12048" max="12048" width="4.33203125" style="797" customWidth="1"/>
    <col min="12049" max="12049" width="2.88671875" style="797" customWidth="1"/>
    <col min="12050" max="12050" width="11.44140625" style="797" customWidth="1"/>
    <col min="12051" max="12051" width="11.88671875" style="797" customWidth="1"/>
    <col min="12052" max="12289" width="7.109375" style="797"/>
    <col min="12290" max="12290" width="4.33203125" style="797" customWidth="1"/>
    <col min="12291" max="12291" width="2.88671875" style="797" customWidth="1"/>
    <col min="12292" max="12292" width="22.33203125" style="797" customWidth="1"/>
    <col min="12293" max="12293" width="4.33203125" style="797" customWidth="1"/>
    <col min="12294" max="12294" width="11.44140625" style="797" customWidth="1"/>
    <col min="12295" max="12295" width="2.88671875" style="797" customWidth="1"/>
    <col min="12296" max="12296" width="11.44140625" style="797" customWidth="1"/>
    <col min="12297" max="12297" width="2.88671875" style="797" customWidth="1"/>
    <col min="12298" max="12298" width="11.44140625" style="797" customWidth="1"/>
    <col min="12299" max="12299" width="2.88671875" style="797" customWidth="1"/>
    <col min="12300" max="12300" width="11.44140625" style="797" customWidth="1"/>
    <col min="12301" max="12301" width="2.88671875" style="797" customWidth="1"/>
    <col min="12302" max="12302" width="11.44140625" style="797" customWidth="1"/>
    <col min="12303" max="12303" width="2.88671875" style="797" customWidth="1"/>
    <col min="12304" max="12304" width="4.33203125" style="797" customWidth="1"/>
    <col min="12305" max="12305" width="2.88671875" style="797" customWidth="1"/>
    <col min="12306" max="12306" width="11.44140625" style="797" customWidth="1"/>
    <col min="12307" max="12307" width="11.88671875" style="797" customWidth="1"/>
    <col min="12308" max="12545" width="7.109375" style="797"/>
    <col min="12546" max="12546" width="4.33203125" style="797" customWidth="1"/>
    <col min="12547" max="12547" width="2.88671875" style="797" customWidth="1"/>
    <col min="12548" max="12548" width="22.33203125" style="797" customWidth="1"/>
    <col min="12549" max="12549" width="4.33203125" style="797" customWidth="1"/>
    <col min="12550" max="12550" width="11.44140625" style="797" customWidth="1"/>
    <col min="12551" max="12551" width="2.88671875" style="797" customWidth="1"/>
    <col min="12552" max="12552" width="11.44140625" style="797" customWidth="1"/>
    <col min="12553" max="12553" width="2.88671875" style="797" customWidth="1"/>
    <col min="12554" max="12554" width="11.44140625" style="797" customWidth="1"/>
    <col min="12555" max="12555" width="2.88671875" style="797" customWidth="1"/>
    <col min="12556" max="12556" width="11.44140625" style="797" customWidth="1"/>
    <col min="12557" max="12557" width="2.88671875" style="797" customWidth="1"/>
    <col min="12558" max="12558" width="11.44140625" style="797" customWidth="1"/>
    <col min="12559" max="12559" width="2.88671875" style="797" customWidth="1"/>
    <col min="12560" max="12560" width="4.33203125" style="797" customWidth="1"/>
    <col min="12561" max="12561" width="2.88671875" style="797" customWidth="1"/>
    <col min="12562" max="12562" width="11.44140625" style="797" customWidth="1"/>
    <col min="12563" max="12563" width="11.88671875" style="797" customWidth="1"/>
    <col min="12564" max="12801" width="7.109375" style="797"/>
    <col min="12802" max="12802" width="4.33203125" style="797" customWidth="1"/>
    <col min="12803" max="12803" width="2.88671875" style="797" customWidth="1"/>
    <col min="12804" max="12804" width="22.33203125" style="797" customWidth="1"/>
    <col min="12805" max="12805" width="4.33203125" style="797" customWidth="1"/>
    <col min="12806" max="12806" width="11.44140625" style="797" customWidth="1"/>
    <col min="12807" max="12807" width="2.88671875" style="797" customWidth="1"/>
    <col min="12808" max="12808" width="11.44140625" style="797" customWidth="1"/>
    <col min="12809" max="12809" width="2.88671875" style="797" customWidth="1"/>
    <col min="12810" max="12810" width="11.44140625" style="797" customWidth="1"/>
    <col min="12811" max="12811" width="2.88671875" style="797" customWidth="1"/>
    <col min="12812" max="12812" width="11.44140625" style="797" customWidth="1"/>
    <col min="12813" max="12813" width="2.88671875" style="797" customWidth="1"/>
    <col min="12814" max="12814" width="11.44140625" style="797" customWidth="1"/>
    <col min="12815" max="12815" width="2.88671875" style="797" customWidth="1"/>
    <col min="12816" max="12816" width="4.33203125" style="797" customWidth="1"/>
    <col min="12817" max="12817" width="2.88671875" style="797" customWidth="1"/>
    <col min="12818" max="12818" width="11.44140625" style="797" customWidth="1"/>
    <col min="12819" max="12819" width="11.88671875" style="797" customWidth="1"/>
    <col min="12820" max="13057" width="7.109375" style="797"/>
    <col min="13058" max="13058" width="4.33203125" style="797" customWidth="1"/>
    <col min="13059" max="13059" width="2.88671875" style="797" customWidth="1"/>
    <col min="13060" max="13060" width="22.33203125" style="797" customWidth="1"/>
    <col min="13061" max="13061" width="4.33203125" style="797" customWidth="1"/>
    <col min="13062" max="13062" width="11.44140625" style="797" customWidth="1"/>
    <col min="13063" max="13063" width="2.88671875" style="797" customWidth="1"/>
    <col min="13064" max="13064" width="11.44140625" style="797" customWidth="1"/>
    <col min="13065" max="13065" width="2.88671875" style="797" customWidth="1"/>
    <col min="13066" max="13066" width="11.44140625" style="797" customWidth="1"/>
    <col min="13067" max="13067" width="2.88671875" style="797" customWidth="1"/>
    <col min="13068" max="13068" width="11.44140625" style="797" customWidth="1"/>
    <col min="13069" max="13069" width="2.88671875" style="797" customWidth="1"/>
    <col min="13070" max="13070" width="11.44140625" style="797" customWidth="1"/>
    <col min="13071" max="13071" width="2.88671875" style="797" customWidth="1"/>
    <col min="13072" max="13072" width="4.33203125" style="797" customWidth="1"/>
    <col min="13073" max="13073" width="2.88671875" style="797" customWidth="1"/>
    <col min="13074" max="13074" width="11.44140625" style="797" customWidth="1"/>
    <col min="13075" max="13075" width="11.88671875" style="797" customWidth="1"/>
    <col min="13076" max="13313" width="7.109375" style="797"/>
    <col min="13314" max="13314" width="4.33203125" style="797" customWidth="1"/>
    <col min="13315" max="13315" width="2.88671875" style="797" customWidth="1"/>
    <col min="13316" max="13316" width="22.33203125" style="797" customWidth="1"/>
    <col min="13317" max="13317" width="4.33203125" style="797" customWidth="1"/>
    <col min="13318" max="13318" width="11.44140625" style="797" customWidth="1"/>
    <col min="13319" max="13319" width="2.88671875" style="797" customWidth="1"/>
    <col min="13320" max="13320" width="11.44140625" style="797" customWidth="1"/>
    <col min="13321" max="13321" width="2.88671875" style="797" customWidth="1"/>
    <col min="13322" max="13322" width="11.44140625" style="797" customWidth="1"/>
    <col min="13323" max="13323" width="2.88671875" style="797" customWidth="1"/>
    <col min="13324" max="13324" width="11.44140625" style="797" customWidth="1"/>
    <col min="13325" max="13325" width="2.88671875" style="797" customWidth="1"/>
    <col min="13326" max="13326" width="11.44140625" style="797" customWidth="1"/>
    <col min="13327" max="13327" width="2.88671875" style="797" customWidth="1"/>
    <col min="13328" max="13328" width="4.33203125" style="797" customWidth="1"/>
    <col min="13329" max="13329" width="2.88671875" style="797" customWidth="1"/>
    <col min="13330" max="13330" width="11.44140625" style="797" customWidth="1"/>
    <col min="13331" max="13331" width="11.88671875" style="797" customWidth="1"/>
    <col min="13332" max="13569" width="7.109375" style="797"/>
    <col min="13570" max="13570" width="4.33203125" style="797" customWidth="1"/>
    <col min="13571" max="13571" width="2.88671875" style="797" customWidth="1"/>
    <col min="13572" max="13572" width="22.33203125" style="797" customWidth="1"/>
    <col min="13573" max="13573" width="4.33203125" style="797" customWidth="1"/>
    <col min="13574" max="13574" width="11.44140625" style="797" customWidth="1"/>
    <col min="13575" max="13575" width="2.88671875" style="797" customWidth="1"/>
    <col min="13576" max="13576" width="11.44140625" style="797" customWidth="1"/>
    <col min="13577" max="13577" width="2.88671875" style="797" customWidth="1"/>
    <col min="13578" max="13578" width="11.44140625" style="797" customWidth="1"/>
    <col min="13579" max="13579" width="2.88671875" style="797" customWidth="1"/>
    <col min="13580" max="13580" width="11.44140625" style="797" customWidth="1"/>
    <col min="13581" max="13581" width="2.88671875" style="797" customWidth="1"/>
    <col min="13582" max="13582" width="11.44140625" style="797" customWidth="1"/>
    <col min="13583" max="13583" width="2.88671875" style="797" customWidth="1"/>
    <col min="13584" max="13584" width="4.33203125" style="797" customWidth="1"/>
    <col min="13585" max="13585" width="2.88671875" style="797" customWidth="1"/>
    <col min="13586" max="13586" width="11.44140625" style="797" customWidth="1"/>
    <col min="13587" max="13587" width="11.88671875" style="797" customWidth="1"/>
    <col min="13588" max="13825" width="7.109375" style="797"/>
    <col min="13826" max="13826" width="4.33203125" style="797" customWidth="1"/>
    <col min="13827" max="13827" width="2.88671875" style="797" customWidth="1"/>
    <col min="13828" max="13828" width="22.33203125" style="797" customWidth="1"/>
    <col min="13829" max="13829" width="4.33203125" style="797" customWidth="1"/>
    <col min="13830" max="13830" width="11.44140625" style="797" customWidth="1"/>
    <col min="13831" max="13831" width="2.88671875" style="797" customWidth="1"/>
    <col min="13832" max="13832" width="11.44140625" style="797" customWidth="1"/>
    <col min="13833" max="13833" width="2.88671875" style="797" customWidth="1"/>
    <col min="13834" max="13834" width="11.44140625" style="797" customWidth="1"/>
    <col min="13835" max="13835" width="2.88671875" style="797" customWidth="1"/>
    <col min="13836" max="13836" width="11.44140625" style="797" customWidth="1"/>
    <col min="13837" max="13837" width="2.88671875" style="797" customWidth="1"/>
    <col min="13838" max="13838" width="11.44140625" style="797" customWidth="1"/>
    <col min="13839" max="13839" width="2.88671875" style="797" customWidth="1"/>
    <col min="13840" max="13840" width="4.33203125" style="797" customWidth="1"/>
    <col min="13841" max="13841" width="2.88671875" style="797" customWidth="1"/>
    <col min="13842" max="13842" width="11.44140625" style="797" customWidth="1"/>
    <col min="13843" max="13843" width="11.88671875" style="797" customWidth="1"/>
    <col min="13844" max="14081" width="7.109375" style="797"/>
    <col min="14082" max="14082" width="4.33203125" style="797" customWidth="1"/>
    <col min="14083" max="14083" width="2.88671875" style="797" customWidth="1"/>
    <col min="14084" max="14084" width="22.33203125" style="797" customWidth="1"/>
    <col min="14085" max="14085" width="4.33203125" style="797" customWidth="1"/>
    <col min="14086" max="14086" width="11.44140625" style="797" customWidth="1"/>
    <col min="14087" max="14087" width="2.88671875" style="797" customWidth="1"/>
    <col min="14088" max="14088" width="11.44140625" style="797" customWidth="1"/>
    <col min="14089" max="14089" width="2.88671875" style="797" customWidth="1"/>
    <col min="14090" max="14090" width="11.44140625" style="797" customWidth="1"/>
    <col min="14091" max="14091" width="2.88671875" style="797" customWidth="1"/>
    <col min="14092" max="14092" width="11.44140625" style="797" customWidth="1"/>
    <col min="14093" max="14093" width="2.88671875" style="797" customWidth="1"/>
    <col min="14094" max="14094" width="11.44140625" style="797" customWidth="1"/>
    <col min="14095" max="14095" width="2.88671875" style="797" customWidth="1"/>
    <col min="14096" max="14096" width="4.33203125" style="797" customWidth="1"/>
    <col min="14097" max="14097" width="2.88671875" style="797" customWidth="1"/>
    <col min="14098" max="14098" width="11.44140625" style="797" customWidth="1"/>
    <col min="14099" max="14099" width="11.88671875" style="797" customWidth="1"/>
    <col min="14100" max="14337" width="7.109375" style="797"/>
    <col min="14338" max="14338" width="4.33203125" style="797" customWidth="1"/>
    <col min="14339" max="14339" width="2.88671875" style="797" customWidth="1"/>
    <col min="14340" max="14340" width="22.33203125" style="797" customWidth="1"/>
    <col min="14341" max="14341" width="4.33203125" style="797" customWidth="1"/>
    <col min="14342" max="14342" width="11.44140625" style="797" customWidth="1"/>
    <col min="14343" max="14343" width="2.88671875" style="797" customWidth="1"/>
    <col min="14344" max="14344" width="11.44140625" style="797" customWidth="1"/>
    <col min="14345" max="14345" width="2.88671875" style="797" customWidth="1"/>
    <col min="14346" max="14346" width="11.44140625" style="797" customWidth="1"/>
    <col min="14347" max="14347" width="2.88671875" style="797" customWidth="1"/>
    <col min="14348" max="14348" width="11.44140625" style="797" customWidth="1"/>
    <col min="14349" max="14349" width="2.88671875" style="797" customWidth="1"/>
    <col min="14350" max="14350" width="11.44140625" style="797" customWidth="1"/>
    <col min="14351" max="14351" width="2.88671875" style="797" customWidth="1"/>
    <col min="14352" max="14352" width="4.33203125" style="797" customWidth="1"/>
    <col min="14353" max="14353" width="2.88671875" style="797" customWidth="1"/>
    <col min="14354" max="14354" width="11.44140625" style="797" customWidth="1"/>
    <col min="14355" max="14355" width="11.88671875" style="797" customWidth="1"/>
    <col min="14356" max="14593" width="7.109375" style="797"/>
    <col min="14594" max="14594" width="4.33203125" style="797" customWidth="1"/>
    <col min="14595" max="14595" width="2.88671875" style="797" customWidth="1"/>
    <col min="14596" max="14596" width="22.33203125" style="797" customWidth="1"/>
    <col min="14597" max="14597" width="4.33203125" style="797" customWidth="1"/>
    <col min="14598" max="14598" width="11.44140625" style="797" customWidth="1"/>
    <col min="14599" max="14599" width="2.88671875" style="797" customWidth="1"/>
    <col min="14600" max="14600" width="11.44140625" style="797" customWidth="1"/>
    <col min="14601" max="14601" width="2.88671875" style="797" customWidth="1"/>
    <col min="14602" max="14602" width="11.44140625" style="797" customWidth="1"/>
    <col min="14603" max="14603" width="2.88671875" style="797" customWidth="1"/>
    <col min="14604" max="14604" width="11.44140625" style="797" customWidth="1"/>
    <col min="14605" max="14605" width="2.88671875" style="797" customWidth="1"/>
    <col min="14606" max="14606" width="11.44140625" style="797" customWidth="1"/>
    <col min="14607" max="14607" width="2.88671875" style="797" customWidth="1"/>
    <col min="14608" max="14608" width="4.33203125" style="797" customWidth="1"/>
    <col min="14609" max="14609" width="2.88671875" style="797" customWidth="1"/>
    <col min="14610" max="14610" width="11.44140625" style="797" customWidth="1"/>
    <col min="14611" max="14611" width="11.88671875" style="797" customWidth="1"/>
    <col min="14612" max="14849" width="7.109375" style="797"/>
    <col min="14850" max="14850" width="4.33203125" style="797" customWidth="1"/>
    <col min="14851" max="14851" width="2.88671875" style="797" customWidth="1"/>
    <col min="14852" max="14852" width="22.33203125" style="797" customWidth="1"/>
    <col min="14853" max="14853" width="4.33203125" style="797" customWidth="1"/>
    <col min="14854" max="14854" width="11.44140625" style="797" customWidth="1"/>
    <col min="14855" max="14855" width="2.88671875" style="797" customWidth="1"/>
    <col min="14856" max="14856" width="11.44140625" style="797" customWidth="1"/>
    <col min="14857" max="14857" width="2.88671875" style="797" customWidth="1"/>
    <col min="14858" max="14858" width="11.44140625" style="797" customWidth="1"/>
    <col min="14859" max="14859" width="2.88671875" style="797" customWidth="1"/>
    <col min="14860" max="14860" width="11.44140625" style="797" customWidth="1"/>
    <col min="14861" max="14861" width="2.88671875" style="797" customWidth="1"/>
    <col min="14862" max="14862" width="11.44140625" style="797" customWidth="1"/>
    <col min="14863" max="14863" width="2.88671875" style="797" customWidth="1"/>
    <col min="14864" max="14864" width="4.33203125" style="797" customWidth="1"/>
    <col min="14865" max="14865" width="2.88671875" style="797" customWidth="1"/>
    <col min="14866" max="14866" width="11.44140625" style="797" customWidth="1"/>
    <col min="14867" max="14867" width="11.88671875" style="797" customWidth="1"/>
    <col min="14868" max="15105" width="7.109375" style="797"/>
    <col min="15106" max="15106" width="4.33203125" style="797" customWidth="1"/>
    <col min="15107" max="15107" width="2.88671875" style="797" customWidth="1"/>
    <col min="15108" max="15108" width="22.33203125" style="797" customWidth="1"/>
    <col min="15109" max="15109" width="4.33203125" style="797" customWidth="1"/>
    <col min="15110" max="15110" width="11.44140625" style="797" customWidth="1"/>
    <col min="15111" max="15111" width="2.88671875" style="797" customWidth="1"/>
    <col min="15112" max="15112" width="11.44140625" style="797" customWidth="1"/>
    <col min="15113" max="15113" width="2.88671875" style="797" customWidth="1"/>
    <col min="15114" max="15114" width="11.44140625" style="797" customWidth="1"/>
    <col min="15115" max="15115" width="2.88671875" style="797" customWidth="1"/>
    <col min="15116" max="15116" width="11.44140625" style="797" customWidth="1"/>
    <col min="15117" max="15117" width="2.88671875" style="797" customWidth="1"/>
    <col min="15118" max="15118" width="11.44140625" style="797" customWidth="1"/>
    <col min="15119" max="15119" width="2.88671875" style="797" customWidth="1"/>
    <col min="15120" max="15120" width="4.33203125" style="797" customWidth="1"/>
    <col min="15121" max="15121" width="2.88671875" style="797" customWidth="1"/>
    <col min="15122" max="15122" width="11.44140625" style="797" customWidth="1"/>
    <col min="15123" max="15123" width="11.88671875" style="797" customWidth="1"/>
    <col min="15124" max="15361" width="7.109375" style="797"/>
    <col min="15362" max="15362" width="4.33203125" style="797" customWidth="1"/>
    <col min="15363" max="15363" width="2.88671875" style="797" customWidth="1"/>
    <col min="15364" max="15364" width="22.33203125" style="797" customWidth="1"/>
    <col min="15365" max="15365" width="4.33203125" style="797" customWidth="1"/>
    <col min="15366" max="15366" width="11.44140625" style="797" customWidth="1"/>
    <col min="15367" max="15367" width="2.88671875" style="797" customWidth="1"/>
    <col min="15368" max="15368" width="11.44140625" style="797" customWidth="1"/>
    <col min="15369" max="15369" width="2.88671875" style="797" customWidth="1"/>
    <col min="15370" max="15370" width="11.44140625" style="797" customWidth="1"/>
    <col min="15371" max="15371" width="2.88671875" style="797" customWidth="1"/>
    <col min="15372" max="15372" width="11.44140625" style="797" customWidth="1"/>
    <col min="15373" max="15373" width="2.88671875" style="797" customWidth="1"/>
    <col min="15374" max="15374" width="11.44140625" style="797" customWidth="1"/>
    <col min="15375" max="15375" width="2.88671875" style="797" customWidth="1"/>
    <col min="15376" max="15376" width="4.33203125" style="797" customWidth="1"/>
    <col min="15377" max="15377" width="2.88671875" style="797" customWidth="1"/>
    <col min="15378" max="15378" width="11.44140625" style="797" customWidth="1"/>
    <col min="15379" max="15379" width="11.88671875" style="797" customWidth="1"/>
    <col min="15380" max="15617" width="7.109375" style="797"/>
    <col min="15618" max="15618" width="4.33203125" style="797" customWidth="1"/>
    <col min="15619" max="15619" width="2.88671875" style="797" customWidth="1"/>
    <col min="15620" max="15620" width="22.33203125" style="797" customWidth="1"/>
    <col min="15621" max="15621" width="4.33203125" style="797" customWidth="1"/>
    <col min="15622" max="15622" width="11.44140625" style="797" customWidth="1"/>
    <col min="15623" max="15623" width="2.88671875" style="797" customWidth="1"/>
    <col min="15624" max="15624" width="11.44140625" style="797" customWidth="1"/>
    <col min="15625" max="15625" width="2.88671875" style="797" customWidth="1"/>
    <col min="15626" max="15626" width="11.44140625" style="797" customWidth="1"/>
    <col min="15627" max="15627" width="2.88671875" style="797" customWidth="1"/>
    <col min="15628" max="15628" width="11.44140625" style="797" customWidth="1"/>
    <col min="15629" max="15629" width="2.88671875" style="797" customWidth="1"/>
    <col min="15630" max="15630" width="11.44140625" style="797" customWidth="1"/>
    <col min="15631" max="15631" width="2.88671875" style="797" customWidth="1"/>
    <col min="15632" max="15632" width="4.33203125" style="797" customWidth="1"/>
    <col min="15633" max="15633" width="2.88671875" style="797" customWidth="1"/>
    <col min="15634" max="15634" width="11.44140625" style="797" customWidth="1"/>
    <col min="15635" max="15635" width="11.88671875" style="797" customWidth="1"/>
    <col min="15636" max="15873" width="7.109375" style="797"/>
    <col min="15874" max="15874" width="4.33203125" style="797" customWidth="1"/>
    <col min="15875" max="15875" width="2.88671875" style="797" customWidth="1"/>
    <col min="15876" max="15876" width="22.33203125" style="797" customWidth="1"/>
    <col min="15877" max="15877" width="4.33203125" style="797" customWidth="1"/>
    <col min="15878" max="15878" width="11.44140625" style="797" customWidth="1"/>
    <col min="15879" max="15879" width="2.88671875" style="797" customWidth="1"/>
    <col min="15880" max="15880" width="11.44140625" style="797" customWidth="1"/>
    <col min="15881" max="15881" width="2.88671875" style="797" customWidth="1"/>
    <col min="15882" max="15882" width="11.44140625" style="797" customWidth="1"/>
    <col min="15883" max="15883" width="2.88671875" style="797" customWidth="1"/>
    <col min="15884" max="15884" width="11.44140625" style="797" customWidth="1"/>
    <col min="15885" max="15885" width="2.88671875" style="797" customWidth="1"/>
    <col min="15886" max="15886" width="11.44140625" style="797" customWidth="1"/>
    <col min="15887" max="15887" width="2.88671875" style="797" customWidth="1"/>
    <col min="15888" max="15888" width="4.33203125" style="797" customWidth="1"/>
    <col min="15889" max="15889" width="2.88671875" style="797" customWidth="1"/>
    <col min="15890" max="15890" width="11.44140625" style="797" customWidth="1"/>
    <col min="15891" max="15891" width="11.88671875" style="797" customWidth="1"/>
    <col min="15892" max="16129" width="7.109375" style="797"/>
    <col min="16130" max="16130" width="4.33203125" style="797" customWidth="1"/>
    <col min="16131" max="16131" width="2.88671875" style="797" customWidth="1"/>
    <col min="16132" max="16132" width="22.33203125" style="797" customWidth="1"/>
    <col min="16133" max="16133" width="4.33203125" style="797" customWidth="1"/>
    <col min="16134" max="16134" width="11.44140625" style="797" customWidth="1"/>
    <col min="16135" max="16135" width="2.88671875" style="797" customWidth="1"/>
    <col min="16136" max="16136" width="11.44140625" style="797" customWidth="1"/>
    <col min="16137" max="16137" width="2.88671875" style="797" customWidth="1"/>
    <col min="16138" max="16138" width="11.44140625" style="797" customWidth="1"/>
    <col min="16139" max="16139" width="2.88671875" style="797" customWidth="1"/>
    <col min="16140" max="16140" width="11.44140625" style="797" customWidth="1"/>
    <col min="16141" max="16141" width="2.88671875" style="797" customWidth="1"/>
    <col min="16142" max="16142" width="11.44140625" style="797" customWidth="1"/>
    <col min="16143" max="16143" width="2.88671875" style="797" customWidth="1"/>
    <col min="16144" max="16144" width="4.33203125" style="797" customWidth="1"/>
    <col min="16145" max="16145" width="2.88671875" style="797" customWidth="1"/>
    <col min="16146" max="16146" width="11.44140625" style="797" customWidth="1"/>
    <col min="16147" max="16147" width="11.88671875" style="797" customWidth="1"/>
    <col min="16148" max="16384" width="7.109375" style="797"/>
  </cols>
  <sheetData>
    <row r="1" spans="1:16" s="796" customFormat="1" ht="10.199999999999999">
      <c r="A1" s="802"/>
      <c r="B1" s="802"/>
      <c r="C1" s="802"/>
      <c r="D1" s="802"/>
      <c r="E1" s="802"/>
      <c r="F1" s="802"/>
      <c r="G1" s="802"/>
      <c r="H1" s="802"/>
      <c r="I1" s="802"/>
      <c r="J1" s="802"/>
      <c r="K1" s="802"/>
      <c r="L1" s="802"/>
      <c r="M1" s="802"/>
      <c r="N1" s="802"/>
      <c r="O1" s="802"/>
      <c r="P1" s="798" t="s">
        <v>1403</v>
      </c>
    </row>
    <row r="2" spans="1:16" s="796" customFormat="1" ht="10.199999999999999">
      <c r="A2" s="801"/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5" t="s">
        <v>797</v>
      </c>
    </row>
    <row r="3" spans="1:16" s="796" customFormat="1" ht="10.199999999999999">
      <c r="A3" s="1215" t="s">
        <v>4</v>
      </c>
      <c r="B3" s="1215"/>
      <c r="C3" s="1215"/>
      <c r="D3" s="1215"/>
      <c r="E3" s="1215"/>
      <c r="F3" s="1215"/>
      <c r="G3" s="1215"/>
      <c r="H3" s="1215"/>
      <c r="I3" s="1215"/>
      <c r="J3" s="1215"/>
      <c r="K3" s="1215"/>
      <c r="L3" s="1215"/>
      <c r="M3" s="1215"/>
      <c r="N3" s="1215"/>
      <c r="O3" s="1215"/>
      <c r="P3" s="1215"/>
    </row>
    <row r="4" spans="1:16" s="796" customFormat="1" ht="10.199999999999999">
      <c r="A4" s="1215" t="s">
        <v>1404</v>
      </c>
      <c r="B4" s="1215"/>
      <c r="C4" s="1215"/>
      <c r="D4" s="1215"/>
      <c r="E4" s="1215"/>
      <c r="F4" s="1215"/>
      <c r="G4" s="1215"/>
      <c r="H4" s="1215"/>
      <c r="I4" s="1215"/>
      <c r="J4" s="1215"/>
      <c r="K4" s="1215"/>
      <c r="L4" s="1215"/>
      <c r="M4" s="1215"/>
      <c r="N4" s="1215"/>
      <c r="O4" s="1215"/>
      <c r="P4" s="1215"/>
    </row>
    <row r="5" spans="1:16" s="796" customFormat="1" ht="10.199999999999999">
      <c r="A5" s="1166" t="s">
        <v>1538</v>
      </c>
      <c r="B5" s="1166"/>
      <c r="C5" s="1166"/>
      <c r="D5" s="1166"/>
      <c r="E5" s="1166"/>
      <c r="F5" s="1166"/>
      <c r="G5" s="1166"/>
      <c r="H5" s="1166"/>
      <c r="I5" s="1166"/>
      <c r="J5" s="1166"/>
      <c r="K5" s="1166"/>
      <c r="L5" s="1166"/>
      <c r="M5" s="1166"/>
      <c r="N5" s="1166"/>
      <c r="O5" s="1166"/>
      <c r="P5" s="1166"/>
    </row>
    <row r="6" spans="1:16" s="840" customFormat="1" ht="10.199999999999999">
      <c r="A6" s="1216" t="s">
        <v>799</v>
      </c>
      <c r="B6" s="1216"/>
      <c r="C6" s="1216"/>
      <c r="D6" s="1216"/>
      <c r="E6" s="1216"/>
      <c r="F6" s="1216"/>
      <c r="G6" s="1216"/>
      <c r="H6" s="1216"/>
      <c r="I6" s="1216"/>
      <c r="J6" s="1216"/>
      <c r="K6" s="1216"/>
      <c r="L6" s="1216"/>
      <c r="M6" s="1216"/>
      <c r="N6" s="1216"/>
      <c r="O6" s="1216"/>
      <c r="P6" s="1216"/>
    </row>
    <row r="7" spans="1:16" s="796" customFormat="1" ht="10.199999999999999">
      <c r="A7" s="856"/>
      <c r="B7" s="802"/>
      <c r="C7" s="808"/>
      <c r="D7" s="802"/>
      <c r="E7" s="802"/>
      <c r="F7" s="802"/>
      <c r="G7" s="802"/>
      <c r="H7" s="802"/>
      <c r="I7" s="802"/>
      <c r="J7" s="802"/>
      <c r="K7" s="802"/>
      <c r="L7" s="802"/>
      <c r="M7" s="802"/>
      <c r="N7" s="802"/>
      <c r="O7" s="802"/>
      <c r="P7" s="807"/>
    </row>
    <row r="8" spans="1:16" s="796" customFormat="1" ht="10.199999999999999">
      <c r="A8" s="856"/>
      <c r="B8" s="802"/>
      <c r="C8" s="802"/>
      <c r="D8" s="802"/>
      <c r="E8" s="856"/>
      <c r="F8" s="802"/>
      <c r="G8" s="802"/>
      <c r="H8" s="802"/>
      <c r="I8" s="802"/>
      <c r="J8" s="802"/>
      <c r="K8" s="802"/>
      <c r="L8" s="802"/>
      <c r="M8" s="802"/>
      <c r="N8" s="802"/>
      <c r="O8" s="802"/>
      <c r="P8" s="807"/>
    </row>
    <row r="9" spans="1:16" s="796" customFormat="1" ht="10.199999999999999">
      <c r="A9" s="802"/>
      <c r="B9" s="802"/>
      <c r="C9" s="802"/>
      <c r="D9" s="802"/>
      <c r="E9" s="807"/>
      <c r="F9" s="802"/>
      <c r="G9" s="804"/>
      <c r="H9" s="804"/>
      <c r="I9" s="804"/>
      <c r="J9" s="804"/>
      <c r="K9" s="804"/>
      <c r="L9" s="804"/>
      <c r="M9" s="802"/>
      <c r="N9" s="802"/>
      <c r="O9" s="802"/>
      <c r="P9" s="807"/>
    </row>
    <row r="10" spans="1:16" s="796" customFormat="1" ht="10.199999999999999">
      <c r="A10" s="802"/>
      <c r="B10" s="802"/>
      <c r="C10" s="802"/>
      <c r="D10" s="802"/>
      <c r="E10" s="807"/>
      <c r="F10" s="802"/>
      <c r="H10" s="1217" t="s">
        <v>1405</v>
      </c>
      <c r="I10" s="1217"/>
      <c r="J10" s="1217"/>
      <c r="K10" s="1217"/>
      <c r="L10" s="1217"/>
      <c r="M10" s="826"/>
      <c r="N10" s="802"/>
      <c r="O10" s="802"/>
      <c r="P10" s="807"/>
    </row>
    <row r="11" spans="1:16" s="796" customFormat="1" ht="40.799999999999997">
      <c r="A11" s="857" t="s">
        <v>1406</v>
      </c>
      <c r="B11" s="858"/>
      <c r="C11" s="859" t="s">
        <v>0</v>
      </c>
      <c r="D11" s="858"/>
      <c r="E11" s="860" t="s">
        <v>1432</v>
      </c>
      <c r="F11" s="858"/>
      <c r="G11" s="858"/>
      <c r="H11" s="902" t="s">
        <v>1407</v>
      </c>
      <c r="I11" s="858"/>
      <c r="J11" s="902" t="s">
        <v>1539</v>
      </c>
      <c r="K11" s="903"/>
      <c r="L11" s="902" t="s">
        <v>1540</v>
      </c>
      <c r="M11" s="858"/>
      <c r="N11" s="860" t="s">
        <v>1541</v>
      </c>
      <c r="O11" s="858"/>
      <c r="P11" s="857" t="s">
        <v>1406</v>
      </c>
    </row>
    <row r="12" spans="1:16" s="796" customFormat="1" ht="10.199999999999999">
      <c r="A12" s="807"/>
      <c r="B12" s="802"/>
      <c r="C12" s="802"/>
      <c r="D12" s="802"/>
      <c r="E12" s="590"/>
      <c r="F12" s="802"/>
      <c r="G12" s="802"/>
      <c r="H12" s="807"/>
      <c r="I12" s="802"/>
      <c r="J12" s="807"/>
      <c r="K12" s="807"/>
      <c r="L12" s="807"/>
      <c r="M12" s="802"/>
      <c r="N12" s="807"/>
      <c r="O12" s="802"/>
      <c r="P12" s="807"/>
    </row>
    <row r="13" spans="1:16" ht="10.199999999999999">
      <c r="A13" s="807">
        <v>1</v>
      </c>
      <c r="B13" s="802"/>
      <c r="C13" s="802" t="s">
        <v>136</v>
      </c>
      <c r="D13" s="802"/>
      <c r="E13" s="862">
        <v>32320.034507877786</v>
      </c>
      <c r="F13" s="862"/>
      <c r="G13" s="862"/>
      <c r="H13" s="862">
        <v>31546.53572717831</v>
      </c>
      <c r="I13" s="862"/>
      <c r="J13" s="862">
        <v>31613.477491827533</v>
      </c>
      <c r="K13" s="862"/>
      <c r="L13" s="862">
        <v>25610.879691822203</v>
      </c>
      <c r="M13" s="862"/>
      <c r="N13" s="862">
        <v>88770.892910828043</v>
      </c>
      <c r="O13" s="802"/>
      <c r="P13" s="807">
        <v>1</v>
      </c>
    </row>
    <row r="14" spans="1:16" ht="10.199999999999999">
      <c r="A14" s="807"/>
      <c r="B14" s="802"/>
      <c r="C14" s="802"/>
      <c r="D14" s="802"/>
      <c r="E14" s="862"/>
      <c r="F14" s="862"/>
      <c r="G14" s="862"/>
      <c r="H14" s="862"/>
      <c r="I14" s="862"/>
      <c r="J14" s="862"/>
      <c r="K14" s="862"/>
      <c r="L14" s="862"/>
      <c r="M14" s="862"/>
      <c r="N14" s="862"/>
      <c r="O14" s="802"/>
      <c r="P14" s="807"/>
    </row>
    <row r="15" spans="1:16" ht="10.199999999999999">
      <c r="A15" s="807">
        <v>2</v>
      </c>
      <c r="B15" s="802"/>
      <c r="C15" s="802" t="s">
        <v>137</v>
      </c>
      <c r="D15" s="826"/>
      <c r="E15" s="862">
        <v>4525.3184921222182</v>
      </c>
      <c r="F15" s="862"/>
      <c r="G15" s="862"/>
      <c r="H15" s="862">
        <v>3822.2462929303751</v>
      </c>
      <c r="I15" s="862"/>
      <c r="J15" s="862">
        <v>3681.03</v>
      </c>
      <c r="K15" s="862"/>
      <c r="L15" s="862">
        <v>2041.98</v>
      </c>
      <c r="M15" s="862"/>
      <c r="N15" s="862">
        <v>9545.2562929303749</v>
      </c>
      <c r="O15" s="802"/>
      <c r="P15" s="807">
        <v>2</v>
      </c>
    </row>
    <row r="16" spans="1:16" ht="10.199999999999999">
      <c r="A16" s="807"/>
      <c r="B16" s="802"/>
      <c r="C16" s="802"/>
      <c r="D16" s="802"/>
      <c r="E16" s="862"/>
      <c r="F16" s="862"/>
      <c r="G16" s="862"/>
      <c r="H16" s="862"/>
      <c r="I16" s="862"/>
      <c r="J16" s="862"/>
      <c r="K16" s="862"/>
      <c r="L16" s="862"/>
      <c r="M16" s="862"/>
      <c r="N16" s="862"/>
      <c r="O16" s="802"/>
      <c r="P16" s="807"/>
    </row>
    <row r="17" spans="1:16" ht="10.199999999999999">
      <c r="A17" s="807">
        <v>3</v>
      </c>
      <c r="B17" s="802"/>
      <c r="C17" s="807" t="s">
        <v>941</v>
      </c>
      <c r="D17" s="802"/>
      <c r="E17" s="861">
        <v>36845.353000000003</v>
      </c>
      <c r="F17" s="862"/>
      <c r="G17" s="862"/>
      <c r="H17" s="861">
        <v>35368.782020108687</v>
      </c>
      <c r="I17" s="862"/>
      <c r="J17" s="861">
        <v>35294.507491827535</v>
      </c>
      <c r="K17" s="862"/>
      <c r="L17" s="861">
        <v>27652.859691822203</v>
      </c>
      <c r="M17" s="862"/>
      <c r="N17" s="861">
        <v>98316.149203758425</v>
      </c>
      <c r="O17" s="802"/>
      <c r="P17" s="807">
        <v>3</v>
      </c>
    </row>
    <row r="18" spans="1:16" ht="10.199999999999999">
      <c r="A18" s="802"/>
      <c r="B18" s="802"/>
      <c r="C18" s="802"/>
      <c r="D18" s="802"/>
      <c r="E18" s="862"/>
      <c r="F18" s="862"/>
      <c r="G18" s="862"/>
      <c r="H18" s="862"/>
      <c r="I18" s="862"/>
      <c r="J18" s="862"/>
      <c r="K18" s="862"/>
      <c r="L18" s="862"/>
      <c r="M18" s="862"/>
      <c r="N18" s="862"/>
      <c r="O18" s="802"/>
      <c r="P18" s="807"/>
    </row>
    <row r="19" spans="1:16" ht="10.199999999999999">
      <c r="A19" s="807">
        <v>4</v>
      </c>
      <c r="B19" s="802"/>
      <c r="C19" s="802" t="s">
        <v>1408</v>
      </c>
      <c r="D19" s="802"/>
      <c r="E19" s="862">
        <v>187.64699999999999</v>
      </c>
      <c r="F19" s="862"/>
      <c r="G19" s="862"/>
      <c r="H19" s="862">
        <v>92.526659891309563</v>
      </c>
      <c r="I19" s="862"/>
      <c r="J19" s="862">
        <v>252.99250817246718</v>
      </c>
      <c r="K19" s="862"/>
      <c r="L19" s="862">
        <v>1.4203081777958142</v>
      </c>
      <c r="M19" s="862"/>
      <c r="N19" s="862">
        <v>346.93947624157255</v>
      </c>
      <c r="O19" s="802"/>
      <c r="P19" s="807">
        <v>4</v>
      </c>
    </row>
    <row r="20" spans="1:16" ht="10.199999999999999">
      <c r="A20" s="802"/>
      <c r="B20" s="802"/>
      <c r="C20" s="802"/>
      <c r="D20" s="802"/>
      <c r="E20" s="862"/>
      <c r="F20" s="862"/>
      <c r="G20" s="862"/>
      <c r="H20" s="862"/>
      <c r="I20" s="862"/>
      <c r="J20" s="862"/>
      <c r="K20" s="862"/>
      <c r="L20" s="862"/>
      <c r="M20" s="862"/>
      <c r="N20" s="862"/>
      <c r="O20" s="802"/>
      <c r="P20" s="807"/>
    </row>
    <row r="21" spans="1:16" ht="10.199999999999999">
      <c r="A21" s="807">
        <v>5</v>
      </c>
      <c r="B21" s="802"/>
      <c r="C21" s="807" t="s">
        <v>1409</v>
      </c>
      <c r="D21" s="802"/>
      <c r="E21" s="861">
        <v>37033</v>
      </c>
      <c r="F21" s="862"/>
      <c r="G21" s="862"/>
      <c r="H21" s="861">
        <v>35461.308679999995</v>
      </c>
      <c r="I21" s="862"/>
      <c r="J21" s="861">
        <v>35547.5</v>
      </c>
      <c r="K21" s="862"/>
      <c r="L21" s="861">
        <v>27654.28</v>
      </c>
      <c r="M21" s="862"/>
      <c r="N21" s="861">
        <v>98663.088680000001</v>
      </c>
      <c r="O21" s="802"/>
      <c r="P21" s="807">
        <v>5</v>
      </c>
    </row>
    <row r="22" spans="1:16" ht="10.199999999999999">
      <c r="A22" s="802"/>
      <c r="B22" s="802"/>
      <c r="C22" s="802"/>
      <c r="D22" s="802"/>
      <c r="E22" s="862"/>
      <c r="F22" s="862"/>
      <c r="G22" s="862"/>
      <c r="H22" s="862"/>
      <c r="I22" s="862"/>
      <c r="J22" s="862"/>
      <c r="K22" s="862"/>
      <c r="L22" s="862"/>
      <c r="M22" s="862"/>
      <c r="N22" s="862"/>
      <c r="O22" s="802"/>
      <c r="P22" s="807"/>
    </row>
    <row r="23" spans="1:16" ht="10.199999999999999">
      <c r="A23" s="807">
        <v>6</v>
      </c>
      <c r="B23" s="802"/>
      <c r="C23" s="802" t="s">
        <v>1410</v>
      </c>
      <c r="D23" s="802"/>
      <c r="E23" s="802">
        <v>-2439</v>
      </c>
      <c r="F23" s="802"/>
      <c r="G23" s="802"/>
      <c r="H23" s="802">
        <v>-1404.96</v>
      </c>
      <c r="I23" s="802"/>
      <c r="J23" s="802">
        <v>-1152</v>
      </c>
      <c r="K23" s="802"/>
      <c r="L23" s="802">
        <v>-1152</v>
      </c>
      <c r="M23" s="802"/>
      <c r="N23" s="802">
        <v>-3708.96</v>
      </c>
      <c r="O23" s="802"/>
      <c r="P23" s="807">
        <v>6</v>
      </c>
    </row>
    <row r="24" spans="1:16" ht="10.199999999999999">
      <c r="A24" s="802"/>
      <c r="B24" s="802"/>
      <c r="C24" s="802"/>
      <c r="D24" s="802"/>
      <c r="E24" s="1012"/>
      <c r="F24" s="1012"/>
      <c r="G24" s="1012"/>
      <c r="H24" s="1012"/>
      <c r="I24" s="1012"/>
      <c r="J24" s="1012"/>
      <c r="K24" s="1012"/>
      <c r="L24" s="1012"/>
      <c r="M24" s="862"/>
      <c r="N24" s="1012"/>
      <c r="O24" s="802"/>
      <c r="P24" s="807"/>
    </row>
    <row r="25" spans="1:16" ht="10.8" thickBot="1">
      <c r="A25" s="807">
        <v>7</v>
      </c>
      <c r="B25" s="802"/>
      <c r="C25" s="802" t="s">
        <v>1411</v>
      </c>
      <c r="D25" s="802"/>
      <c r="E25" s="847">
        <v>34594</v>
      </c>
      <c r="F25" s="802"/>
      <c r="G25" s="802"/>
      <c r="H25" s="847">
        <v>34056.348679999996</v>
      </c>
      <c r="I25" s="802"/>
      <c r="J25" s="847">
        <v>34395.5</v>
      </c>
      <c r="K25" s="814"/>
      <c r="L25" s="847">
        <v>26502.28</v>
      </c>
      <c r="M25" s="802"/>
      <c r="N25" s="847">
        <v>94954.128679999994</v>
      </c>
      <c r="O25" s="802"/>
      <c r="P25" s="807">
        <v>7</v>
      </c>
    </row>
    <row r="26" spans="1:16" ht="10.8" thickTop="1">
      <c r="A26" s="802"/>
      <c r="B26" s="802"/>
      <c r="C26" s="802"/>
      <c r="D26" s="802"/>
      <c r="E26" s="802"/>
      <c r="F26" s="802"/>
      <c r="G26" s="802"/>
      <c r="H26" s="802"/>
      <c r="I26" s="802"/>
      <c r="J26" s="802"/>
      <c r="K26" s="802"/>
      <c r="L26" s="802"/>
      <c r="M26" s="802"/>
      <c r="N26" s="802"/>
      <c r="O26" s="802"/>
      <c r="P26" s="807"/>
    </row>
    <row r="27" spans="1:16" ht="10.199999999999999">
      <c r="A27" s="802"/>
      <c r="B27" s="802"/>
      <c r="C27" s="802"/>
      <c r="D27" s="802"/>
      <c r="E27" s="802"/>
      <c r="F27" s="802"/>
      <c r="G27" s="802"/>
      <c r="H27" s="802"/>
      <c r="I27" s="802"/>
      <c r="J27" s="802"/>
      <c r="K27" s="802"/>
      <c r="L27" s="802"/>
      <c r="M27" s="802"/>
      <c r="N27" s="802"/>
      <c r="O27" s="802"/>
      <c r="P27" s="807"/>
    </row>
    <row r="28" spans="1:16" s="851" customFormat="1" ht="10.199999999999999">
      <c r="A28" s="828"/>
      <c r="B28" s="828"/>
      <c r="C28" s="827" t="s">
        <v>826</v>
      </c>
      <c r="D28" s="828"/>
      <c r="E28" s="831" t="s">
        <v>990</v>
      </c>
      <c r="F28" s="831"/>
      <c r="G28" s="828"/>
      <c r="H28" s="828"/>
      <c r="I28" s="828"/>
      <c r="J28" s="828"/>
      <c r="K28" s="828"/>
      <c r="L28" s="828"/>
      <c r="M28" s="828"/>
      <c r="N28" s="828"/>
      <c r="O28" s="828"/>
      <c r="P28" s="827"/>
    </row>
    <row r="29" spans="1:16" ht="10.199999999999999">
      <c r="A29" s="802"/>
      <c r="B29" s="802"/>
      <c r="C29" s="807" t="s">
        <v>1377</v>
      </c>
      <c r="D29" s="802"/>
      <c r="E29" s="806" t="s">
        <v>1412</v>
      </c>
      <c r="F29" s="804"/>
      <c r="G29" s="802"/>
      <c r="H29" s="802"/>
      <c r="I29" s="802"/>
      <c r="J29" s="802"/>
      <c r="K29" s="802"/>
      <c r="L29" s="802"/>
      <c r="M29" s="802"/>
      <c r="N29" s="802"/>
      <c r="O29" s="802"/>
      <c r="P29" s="807"/>
    </row>
    <row r="30" spans="1:16" ht="10.199999999999999">
      <c r="A30" s="802"/>
      <c r="B30" s="802"/>
      <c r="C30" s="802"/>
      <c r="D30" s="802"/>
      <c r="E30" s="806" t="s">
        <v>964</v>
      </c>
      <c r="F30" s="804"/>
      <c r="G30" s="802"/>
      <c r="H30" s="802"/>
      <c r="I30" s="802"/>
      <c r="J30" s="802"/>
      <c r="K30" s="802"/>
      <c r="L30" s="802"/>
      <c r="M30" s="802"/>
      <c r="N30" s="802"/>
      <c r="O30" s="802"/>
      <c r="P30" s="802"/>
    </row>
    <row r="31" spans="1:16" ht="10.199999999999999">
      <c r="A31" s="802"/>
      <c r="B31" s="802"/>
      <c r="C31" s="807"/>
      <c r="D31" s="802"/>
      <c r="E31" s="802"/>
      <c r="F31" s="802"/>
      <c r="G31" s="802"/>
      <c r="H31" s="802"/>
      <c r="I31" s="802"/>
      <c r="J31" s="802"/>
      <c r="K31" s="802"/>
      <c r="L31" s="802"/>
      <c r="M31" s="802"/>
      <c r="N31" s="802"/>
      <c r="O31" s="802"/>
      <c r="P31" s="807"/>
    </row>
    <row r="32" spans="1:16" ht="10.199999999999999">
      <c r="A32" s="802"/>
      <c r="B32" s="802"/>
      <c r="C32" s="807"/>
      <c r="D32" s="802"/>
      <c r="E32" s="802"/>
      <c r="F32" s="802"/>
      <c r="G32" s="802"/>
      <c r="H32" s="802"/>
      <c r="I32" s="802"/>
      <c r="J32" s="802"/>
      <c r="K32" s="802"/>
      <c r="L32" s="802"/>
      <c r="M32" s="802"/>
      <c r="N32" s="802"/>
      <c r="O32" s="802"/>
      <c r="P32" s="807"/>
    </row>
    <row r="33" spans="1:16" ht="10.199999999999999">
      <c r="A33" s="802"/>
      <c r="B33" s="802"/>
      <c r="C33" s="807"/>
      <c r="D33" s="802"/>
      <c r="E33" s="802"/>
      <c r="F33" s="802"/>
      <c r="G33" s="802"/>
      <c r="H33" s="802"/>
      <c r="I33" s="802"/>
      <c r="J33" s="802"/>
      <c r="K33" s="802"/>
      <c r="L33" s="802"/>
      <c r="M33" s="802"/>
      <c r="N33" s="802"/>
      <c r="O33" s="802"/>
      <c r="P33" s="807"/>
    </row>
    <row r="34" spans="1:16" ht="10.199999999999999">
      <c r="A34" s="802"/>
      <c r="B34" s="802"/>
      <c r="C34" s="807"/>
      <c r="D34" s="802"/>
      <c r="E34" s="802"/>
      <c r="F34" s="802"/>
      <c r="G34" s="802"/>
      <c r="H34" s="802"/>
      <c r="I34" s="802"/>
      <c r="J34" s="802"/>
      <c r="K34" s="802"/>
      <c r="L34" s="802"/>
      <c r="M34" s="802"/>
      <c r="N34" s="802"/>
      <c r="O34" s="802"/>
      <c r="P34" s="807"/>
    </row>
    <row r="35" spans="1:16" ht="10.199999999999999">
      <c r="A35" s="802"/>
      <c r="B35" s="802"/>
      <c r="C35" s="807"/>
      <c r="D35" s="802"/>
      <c r="E35" s="802"/>
      <c r="F35" s="802"/>
      <c r="G35" s="802"/>
      <c r="H35" s="802"/>
      <c r="I35" s="802"/>
      <c r="J35" s="802"/>
      <c r="K35" s="802"/>
      <c r="L35" s="802"/>
      <c r="M35" s="802"/>
      <c r="N35" s="802"/>
      <c r="O35" s="802"/>
      <c r="P35" s="807"/>
    </row>
    <row r="36" spans="1:16" ht="10.199999999999999">
      <c r="A36" s="802"/>
      <c r="B36" s="802"/>
      <c r="C36" s="807"/>
      <c r="D36" s="802"/>
      <c r="E36" s="802"/>
      <c r="F36" s="802"/>
      <c r="G36" s="802"/>
      <c r="H36" s="802"/>
      <c r="I36" s="802"/>
      <c r="J36" s="802"/>
      <c r="K36" s="802"/>
      <c r="L36" s="802"/>
      <c r="M36" s="802"/>
      <c r="N36" s="802"/>
      <c r="O36" s="802"/>
      <c r="P36" s="807"/>
    </row>
    <row r="37" spans="1:16" ht="10.199999999999999">
      <c r="A37" s="802"/>
      <c r="B37" s="802"/>
      <c r="C37" s="802"/>
      <c r="D37" s="802"/>
      <c r="E37" s="802"/>
      <c r="F37" s="802"/>
      <c r="G37" s="802"/>
      <c r="H37" s="802"/>
      <c r="I37" s="802"/>
      <c r="J37" s="802"/>
      <c r="K37" s="802"/>
      <c r="L37" s="802"/>
      <c r="M37" s="802"/>
      <c r="N37" s="802"/>
      <c r="O37" s="802"/>
      <c r="P37" s="807"/>
    </row>
    <row r="38" spans="1:16" ht="10.199999999999999">
      <c r="A38" s="863" t="s">
        <v>1413</v>
      </c>
      <c r="B38" s="864"/>
      <c r="C38" s="802"/>
      <c r="D38" s="828" t="s">
        <v>1414</v>
      </c>
      <c r="E38" s="815"/>
      <c r="F38" s="802"/>
      <c r="G38" s="802"/>
      <c r="H38" s="802"/>
      <c r="I38" s="802"/>
      <c r="J38" s="802"/>
      <c r="K38" s="802"/>
      <c r="L38" s="802"/>
      <c r="M38" s="802"/>
      <c r="N38" s="802"/>
      <c r="O38" s="802"/>
      <c r="P38" s="802"/>
    </row>
    <row r="39" spans="1:16" ht="10.199999999999999">
      <c r="A39" s="856" t="s">
        <v>993</v>
      </c>
      <c r="B39" s="802"/>
      <c r="C39" s="802"/>
      <c r="D39" s="805" t="s">
        <v>1415</v>
      </c>
      <c r="E39" s="814">
        <f>-'F2'!E32</f>
        <v>37033</v>
      </c>
      <c r="F39" s="802"/>
      <c r="G39" s="802"/>
      <c r="H39" s="807"/>
      <c r="I39" s="802"/>
      <c r="J39" s="807"/>
      <c r="K39" s="807"/>
      <c r="L39" s="807"/>
      <c r="M39" s="802"/>
      <c r="N39" s="807"/>
      <c r="O39" s="802"/>
      <c r="P39" s="802"/>
    </row>
    <row r="40" spans="1:16" ht="10.199999999999999">
      <c r="A40" s="856"/>
      <c r="B40" s="802"/>
      <c r="C40" s="802"/>
      <c r="D40" s="802"/>
      <c r="E40" s="802"/>
      <c r="F40" s="802"/>
      <c r="G40" s="802"/>
      <c r="H40" s="802"/>
      <c r="I40" s="802"/>
      <c r="J40" s="802"/>
      <c r="K40" s="802"/>
      <c r="L40" s="802"/>
      <c r="M40" s="802"/>
      <c r="N40" s="802"/>
      <c r="O40" s="802"/>
      <c r="P40" s="802"/>
    </row>
    <row r="41" spans="1:16" ht="10.199999999999999">
      <c r="A41" s="856"/>
      <c r="B41" s="802"/>
      <c r="C41" s="802"/>
      <c r="D41" s="802"/>
      <c r="E41" s="802">
        <f>E21-E39</f>
        <v>0</v>
      </c>
      <c r="F41" s="802"/>
      <c r="G41" s="802"/>
      <c r="H41" s="802"/>
      <c r="I41" s="802"/>
      <c r="J41" s="802"/>
      <c r="K41" s="802"/>
      <c r="L41" s="802"/>
      <c r="M41" s="802"/>
      <c r="N41" s="802"/>
      <c r="O41" s="802"/>
      <c r="P41" s="802"/>
    </row>
  </sheetData>
  <mergeCells count="5">
    <mergeCell ref="A3:P3"/>
    <mergeCell ref="A4:P4"/>
    <mergeCell ref="A5:P5"/>
    <mergeCell ref="A6:P6"/>
    <mergeCell ref="H10:L10"/>
  </mergeCells>
  <printOptions horizontalCentered="1"/>
  <pageMargins left="0.7" right="0.7" top="0.75" bottom="0.75" header="0.3" footer="0.3"/>
  <pageSetup fitToHeight="0" orientation="landscape" r:id="rId1"/>
  <headerFooter alignWithMargins="0"/>
  <rowBreaks count="2" manualBreakCount="2">
    <brk id="59" max="65535" man="1"/>
    <brk id="118" max="65535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3C7F5-70B1-4EDA-8C2C-F06AF64675C9}">
  <sheetPr>
    <tabColor rgb="FFFFFFCC"/>
    <pageSetUpPr fitToPage="1"/>
  </sheetPr>
  <dimension ref="A1:G30"/>
  <sheetViews>
    <sheetView zoomScaleNormal="100" zoomScaleSheetLayoutView="100" workbookViewId="0"/>
  </sheetViews>
  <sheetFormatPr defaultColWidth="8.6640625" defaultRowHeight="10.199999999999999"/>
  <cols>
    <col min="1" max="12" width="13" style="511" customWidth="1"/>
    <col min="13" max="16384" width="8.6640625" style="511"/>
  </cols>
  <sheetData>
    <row r="1" spans="1:7">
      <c r="G1" s="1053" t="s">
        <v>1416</v>
      </c>
    </row>
    <row r="2" spans="1:7">
      <c r="G2" s="1053" t="s">
        <v>797</v>
      </c>
    </row>
    <row r="3" spans="1:7">
      <c r="A3" s="1165" t="s">
        <v>4</v>
      </c>
      <c r="B3" s="1165"/>
      <c r="C3" s="1165"/>
      <c r="D3" s="1165"/>
      <c r="E3" s="1165"/>
      <c r="F3" s="1165"/>
      <c r="G3" s="1165"/>
    </row>
    <row r="4" spans="1:7">
      <c r="A4" s="1165" t="s">
        <v>1417</v>
      </c>
      <c r="B4" s="1165"/>
      <c r="C4" s="1165"/>
      <c r="D4" s="1165"/>
      <c r="E4" s="1165"/>
      <c r="F4" s="1165"/>
      <c r="G4" s="1165"/>
    </row>
    <row r="8" spans="1:7">
      <c r="A8" s="1106" t="s">
        <v>1418</v>
      </c>
      <c r="B8" s="1097"/>
      <c r="C8" s="1097"/>
      <c r="D8" s="1097"/>
      <c r="E8" s="1097"/>
      <c r="F8" s="1097"/>
    </row>
    <row r="9" spans="1:7">
      <c r="A9" s="1098" t="s">
        <v>1861</v>
      </c>
      <c r="B9" s="1097"/>
      <c r="C9" s="1097"/>
      <c r="D9" s="1097"/>
      <c r="E9" s="1097"/>
      <c r="F9" s="1097"/>
    </row>
    <row r="10" spans="1:7">
      <c r="A10" s="1099" t="s">
        <v>1862</v>
      </c>
      <c r="B10" s="1097"/>
      <c r="C10" s="1097"/>
      <c r="D10" s="1097"/>
      <c r="E10" s="1097"/>
      <c r="F10" s="1097"/>
    </row>
    <row r="11" spans="1:7">
      <c r="A11" s="1097"/>
      <c r="B11" s="1097"/>
      <c r="C11" s="1097"/>
      <c r="D11" s="1097"/>
      <c r="E11" s="1097"/>
      <c r="F11" s="1097"/>
    </row>
    <row r="12" spans="1:7">
      <c r="A12" s="1106" t="s">
        <v>1419</v>
      </c>
      <c r="B12" s="1097"/>
      <c r="C12" s="1097"/>
      <c r="D12" s="1097"/>
      <c r="E12" s="1097"/>
      <c r="F12" s="1097"/>
    </row>
    <row r="13" spans="1:7">
      <c r="A13" s="1100" t="s">
        <v>1863</v>
      </c>
      <c r="B13" s="1097"/>
      <c r="C13" s="1097"/>
      <c r="D13" s="1097"/>
      <c r="E13" s="1097"/>
      <c r="F13" s="1097"/>
    </row>
    <row r="14" spans="1:7">
      <c r="A14" s="1097"/>
      <c r="B14" s="1097"/>
      <c r="C14" s="1097"/>
      <c r="D14" s="1097"/>
      <c r="E14" s="1097"/>
      <c r="F14" s="1097"/>
    </row>
    <row r="15" spans="1:7">
      <c r="A15" s="1106" t="s">
        <v>1420</v>
      </c>
      <c r="B15" s="1097"/>
      <c r="C15" s="1097"/>
      <c r="D15" s="1097"/>
      <c r="E15" s="1097"/>
      <c r="F15" s="1097"/>
    </row>
    <row r="16" spans="1:7">
      <c r="A16" s="1101" t="s">
        <v>1421</v>
      </c>
      <c r="B16" s="1097"/>
      <c r="C16" s="1097"/>
      <c r="D16" s="1097"/>
      <c r="E16" s="1097"/>
      <c r="F16" s="1097"/>
    </row>
    <row r="18" spans="1:2">
      <c r="A18" s="1106" t="s">
        <v>1422</v>
      </c>
      <c r="B18" s="1097"/>
    </row>
    <row r="19" spans="1:2">
      <c r="A19" s="1100" t="s">
        <v>1864</v>
      </c>
      <c r="B19" s="1097"/>
    </row>
    <row r="20" spans="1:2">
      <c r="A20" s="1097"/>
      <c r="B20" s="1097"/>
    </row>
    <row r="21" spans="1:2">
      <c r="A21" s="1106" t="s">
        <v>1423</v>
      </c>
      <c r="B21" s="1097"/>
    </row>
    <row r="22" spans="1:2">
      <c r="A22" s="1099" t="s">
        <v>1424</v>
      </c>
      <c r="B22" s="1097"/>
    </row>
    <row r="23" spans="1:2">
      <c r="A23" s="1099" t="s">
        <v>1865</v>
      </c>
      <c r="B23" s="1097"/>
    </row>
    <row r="24" spans="1:2">
      <c r="A24" s="1099"/>
      <c r="B24" s="1097"/>
    </row>
    <row r="25" spans="1:2">
      <c r="A25" s="1106" t="s">
        <v>1425</v>
      </c>
      <c r="B25" s="1097"/>
    </row>
    <row r="26" spans="1:2">
      <c r="A26" s="1101" t="s">
        <v>1426</v>
      </c>
      <c r="B26" s="1097"/>
    </row>
    <row r="27" spans="1:2">
      <c r="A27" s="1102" t="s">
        <v>1889</v>
      </c>
      <c r="B27" s="1103" t="s">
        <v>1927</v>
      </c>
    </row>
    <row r="28" spans="1:2">
      <c r="A28" s="1102" t="s">
        <v>1866</v>
      </c>
      <c r="B28" s="1103" t="s">
        <v>1914</v>
      </c>
    </row>
    <row r="29" spans="1:2">
      <c r="A29" s="1104" t="s">
        <v>1867</v>
      </c>
      <c r="B29" s="1103" t="s">
        <v>1915</v>
      </c>
    </row>
    <row r="30" spans="1:2" ht="10.8" thickBot="1">
      <c r="A30" s="1105" t="s">
        <v>1890</v>
      </c>
      <c r="B30" s="1103" t="s">
        <v>1916</v>
      </c>
    </row>
  </sheetData>
  <mergeCells count="2">
    <mergeCell ref="A3:G3"/>
    <mergeCell ref="A4:G4"/>
  </mergeCells>
  <printOptions horizontalCentered="1"/>
  <pageMargins left="0.7" right="0.7" top="0.75" bottom="0.75" header="0.3" footer="0.3"/>
  <pageSetup fitToHeight="0" orientation="landscape" r:id="rId1"/>
</worksheet>
</file>

<file path=docMetadata/LabelInfo.xml><?xml version="1.0" encoding="utf-8"?>
<clbl:labelList xmlns:clbl="http://schemas.microsoft.com/office/2020/mipLabelMetadata">
  <clbl:label id="{4ee02f04-be22-4396-a59f-8c217de79675}" enabled="1" method="Standard" siteId="{04339cb4-c4c5-4d63-b960-759c4de7f4e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59</vt:i4>
      </vt:variant>
    </vt:vector>
  </HeadingPairs>
  <TitlesOfParts>
    <vt:vector size="113" baseType="lpstr">
      <vt:lpstr>Dec 81653 Page 57</vt:lpstr>
      <vt:lpstr>Rate Base</vt:lpstr>
      <vt:lpstr>Rate Base (RCN)</vt:lpstr>
      <vt:lpstr>Fair Value</vt:lpstr>
      <vt:lpstr>Rev Exp</vt:lpstr>
      <vt:lpstr>Rev-Gas Summary</vt:lpstr>
      <vt:lpstr>REVEXP-UNADJ-FERC IS</vt:lpstr>
      <vt:lpstr>REVEXP-UNADJ-Depreciation</vt:lpstr>
      <vt:lpstr>Income Tax Lead</vt:lpstr>
      <vt:lpstr>Inc Tax Support</vt:lpstr>
      <vt:lpstr>Customer Deposits</vt:lpstr>
      <vt:lpstr>RCN Data</vt:lpstr>
      <vt:lpstr>RB-UNADJ-Plant</vt:lpstr>
      <vt:lpstr>RB-UNADJ-FERC BS</vt:lpstr>
      <vt:lpstr>RB-Reg Asset-Liab</vt:lpstr>
      <vt:lpstr>Cust Adv RCN</vt:lpstr>
      <vt:lpstr>A1</vt:lpstr>
      <vt:lpstr>A2</vt:lpstr>
      <vt:lpstr>A3</vt:lpstr>
      <vt:lpstr>A4</vt:lpstr>
      <vt:lpstr>A5</vt:lpstr>
      <vt:lpstr>B1</vt:lpstr>
      <vt:lpstr>B2 P1</vt:lpstr>
      <vt:lpstr>B2 P2</vt:lpstr>
      <vt:lpstr>B3 P1</vt:lpstr>
      <vt:lpstr>B3 P2</vt:lpstr>
      <vt:lpstr>B4 P1-P2</vt:lpstr>
      <vt:lpstr>B5 P1-P2</vt:lpstr>
      <vt:lpstr>B5 P3</vt:lpstr>
      <vt:lpstr>Lead Lag Days</vt:lpstr>
      <vt:lpstr>Lead Lag Reclass</vt:lpstr>
      <vt:lpstr>C1</vt:lpstr>
      <vt:lpstr>C2 P1-P3</vt:lpstr>
      <vt:lpstr>C3</vt:lpstr>
      <vt:lpstr>D1 P1</vt:lpstr>
      <vt:lpstr>D1 P2</vt:lpstr>
      <vt:lpstr>D2 P1</vt:lpstr>
      <vt:lpstr>D2 P2</vt:lpstr>
      <vt:lpstr>D3</vt:lpstr>
      <vt:lpstr>D4</vt:lpstr>
      <vt:lpstr>E1</vt:lpstr>
      <vt:lpstr>E2</vt:lpstr>
      <vt:lpstr>E3</vt:lpstr>
      <vt:lpstr>E4</vt:lpstr>
      <vt:lpstr>E5 P1</vt:lpstr>
      <vt:lpstr>E5 P2</vt:lpstr>
      <vt:lpstr>E6</vt:lpstr>
      <vt:lpstr>E7</vt:lpstr>
      <vt:lpstr>E8</vt:lpstr>
      <vt:lpstr>E9</vt:lpstr>
      <vt:lpstr>F1</vt:lpstr>
      <vt:lpstr>F2</vt:lpstr>
      <vt:lpstr>F3</vt:lpstr>
      <vt:lpstr>F4</vt:lpstr>
      <vt:lpstr>B1P1</vt:lpstr>
      <vt:lpstr>'B2 P2'!B2P1</vt:lpstr>
      <vt:lpstr>B2P1</vt:lpstr>
      <vt:lpstr>'F1'!f1p1</vt:lpstr>
      <vt:lpstr>'F2'!f2p1</vt:lpstr>
      <vt:lpstr>'A1'!Print_Area</vt:lpstr>
      <vt:lpstr>'A2'!Print_Area</vt:lpstr>
      <vt:lpstr>'A3'!Print_Area</vt:lpstr>
      <vt:lpstr>'A4'!Print_Area</vt:lpstr>
      <vt:lpstr>'A5'!Print_Area</vt:lpstr>
      <vt:lpstr>'B1'!Print_Area</vt:lpstr>
      <vt:lpstr>'B2 P1'!Print_Area</vt:lpstr>
      <vt:lpstr>'B2 P2'!Print_Area</vt:lpstr>
      <vt:lpstr>'B3 P1'!Print_Area</vt:lpstr>
      <vt:lpstr>'B3 P2'!Print_Area</vt:lpstr>
      <vt:lpstr>'B4 P1-P2'!Print_Area</vt:lpstr>
      <vt:lpstr>'B5 P1-P2'!Print_Area</vt:lpstr>
      <vt:lpstr>'B5 P3'!Print_Area</vt:lpstr>
      <vt:lpstr>'C1'!Print_Area</vt:lpstr>
      <vt:lpstr>'C2 P1-P3'!Print_Area</vt:lpstr>
      <vt:lpstr>'C3'!Print_Area</vt:lpstr>
      <vt:lpstr>'D1 P1'!Print_Area</vt:lpstr>
      <vt:lpstr>'D1 P2'!Print_Area</vt:lpstr>
      <vt:lpstr>'D2 P1'!Print_Area</vt:lpstr>
      <vt:lpstr>'D2 P2'!Print_Area</vt:lpstr>
      <vt:lpstr>'D3'!Print_Area</vt:lpstr>
      <vt:lpstr>'D4'!Print_Area</vt:lpstr>
      <vt:lpstr>'E3'!Print_Area</vt:lpstr>
      <vt:lpstr>'E5 P1'!Print_Area</vt:lpstr>
      <vt:lpstr>'E5 P2'!Print_Area</vt:lpstr>
      <vt:lpstr>'E7'!Print_Area</vt:lpstr>
      <vt:lpstr>'E8'!Print_Area</vt:lpstr>
      <vt:lpstr>'E9'!Print_Area</vt:lpstr>
      <vt:lpstr>'F1'!Print_Area</vt:lpstr>
      <vt:lpstr>'F2'!Print_Area</vt:lpstr>
      <vt:lpstr>'F3'!Print_Area</vt:lpstr>
      <vt:lpstr>'Income Tax Lead'!Print_Area</vt:lpstr>
      <vt:lpstr>'Lead Lag Reclass'!Print_Area</vt:lpstr>
      <vt:lpstr>'RB-Reg Asset-Liab'!Print_Area</vt:lpstr>
      <vt:lpstr>'RB-UNADJ-FERC BS'!Print_Area</vt:lpstr>
      <vt:lpstr>'Rev Exp'!Print_Area</vt:lpstr>
      <vt:lpstr>'REVEXP-UNADJ-FERC IS'!Print_Area</vt:lpstr>
      <vt:lpstr>'B2 P2'!Print_Titles</vt:lpstr>
      <vt:lpstr>'B3 P2'!Print_Titles</vt:lpstr>
      <vt:lpstr>'C2 P1-P3'!Print_Titles</vt:lpstr>
      <vt:lpstr>'E1'!Print_Titles</vt:lpstr>
      <vt:lpstr>'E2'!Print_Titles</vt:lpstr>
      <vt:lpstr>'E3'!Print_Titles</vt:lpstr>
      <vt:lpstr>'E7'!Print_Titles</vt:lpstr>
      <vt:lpstr>'Fair Value'!Print_Titles</vt:lpstr>
      <vt:lpstr>'Income Tax Lead'!Print_Titles</vt:lpstr>
      <vt:lpstr>'Lead Lag Reclass'!Print_Titles</vt:lpstr>
      <vt:lpstr>'Rate Base'!Print_Titles</vt:lpstr>
      <vt:lpstr>'Rate Base (RCN)'!Print_Titles</vt:lpstr>
      <vt:lpstr>'RB-UNADJ-FERC BS'!Print_Titles</vt:lpstr>
      <vt:lpstr>'RB-UNADJ-Plant'!Print_Titles</vt:lpstr>
      <vt:lpstr>'RCN Data'!Print_Titles</vt:lpstr>
      <vt:lpstr>'Rev Exp'!Print_Titles</vt:lpstr>
      <vt:lpstr>'REVEXP-UNADJ-Depreciation'!Print_Titles</vt:lpstr>
    </vt:vector>
  </TitlesOfParts>
  <Company>UniSource 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Liu</dc:creator>
  <cp:lastModifiedBy>Gunderson, Kristin</cp:lastModifiedBy>
  <cp:lastPrinted>2026-08-26T19:23:29Z</cp:lastPrinted>
  <dcterms:created xsi:type="dcterms:W3CDTF">2010-08-23T15:15:56Z</dcterms:created>
  <dcterms:modified xsi:type="dcterms:W3CDTF">2026-08-28T17:36:28Z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